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Kamilah O'Brien\Dropbox (Char. School Bus Mgt)\CSBM-FS Client Services\CSBM\Growing Up Green 2\FY 18-19\Reporting\Authorizer Reports\"/>
    </mc:Choice>
  </mc:AlternateContent>
  <bookViews>
    <workbookView xWindow="0" yWindow="0" windowWidth="20490" windowHeight="5955" tabRatio="760" activeTab="1"/>
  </bookViews>
  <sheets>
    <sheet name="Instructions" sheetId="6" r:id="rId1"/>
    <sheet name="2018-2019 Budget" sheetId="7" r:id="rId2"/>
    <sheet name="details" sheetId="8" state="hidden" r:id="rId3"/>
  </sheets>
  <definedNames>
    <definedName name="_Fill" hidden="1">#REF!</definedName>
    <definedName name="_xlnm._FilterDatabase" localSheetId="2" hidden="1">details!$A$6:$R$161</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xlnm.Print_Area" localSheetId="1">'2018-2019 Budget'!$B$2:$O$160</definedName>
    <definedName name="_xlnm.Print_Titles" localSheetId="1">'2018-2019 Budget'!$2:$15</definedName>
  </definedNames>
  <calcPr calcId="152511" concurrentCalc="0"/>
</workbook>
</file>

<file path=xl/calcChain.xml><?xml version="1.0" encoding="utf-8"?>
<calcChain xmlns="http://schemas.openxmlformats.org/spreadsheetml/2006/main">
  <c r="K150" i="7" l="1"/>
  <c r="E68" i="8"/>
  <c r="K68" i="8"/>
  <c r="F68" i="8"/>
  <c r="L68" i="8"/>
  <c r="M68" i="8"/>
  <c r="N68" i="8"/>
  <c r="O68" i="8"/>
  <c r="B70" i="8"/>
  <c r="B69" i="8"/>
  <c r="B68" i="8"/>
  <c r="H2" i="8"/>
  <c r="I10" i="7"/>
  <c r="B164" i="8"/>
  <c r="B162" i="8"/>
  <c r="B161" i="8"/>
  <c r="B160" i="8"/>
  <c r="B159" i="8"/>
  <c r="B158" i="8"/>
  <c r="B163" i="8"/>
  <c r="B157" i="8"/>
  <c r="B156" i="8"/>
  <c r="B153" i="8"/>
  <c r="B152" i="8"/>
  <c r="B151" i="8"/>
  <c r="B150" i="8"/>
  <c r="B149" i="8"/>
  <c r="B154" i="8"/>
  <c r="B148" i="8"/>
  <c r="B147" i="8"/>
  <c r="B144" i="8"/>
  <c r="B143" i="8"/>
  <c r="B142" i="8"/>
  <c r="B141" i="8"/>
  <c r="B140" i="8"/>
  <c r="B139" i="8"/>
  <c r="B138" i="8"/>
  <c r="B137" i="8"/>
  <c r="B136" i="8"/>
  <c r="B135" i="8"/>
  <c r="B134" i="8"/>
  <c r="B133" i="8"/>
  <c r="B132" i="8"/>
  <c r="B131" i="8"/>
  <c r="B130" i="8"/>
  <c r="B129" i="8"/>
  <c r="B128" i="8"/>
  <c r="B145" i="8"/>
  <c r="B127" i="8"/>
  <c r="B126" i="8"/>
  <c r="B123" i="8"/>
  <c r="B124" i="8"/>
  <c r="B120" i="8"/>
  <c r="B119" i="8"/>
  <c r="B121" i="8"/>
  <c r="B117" i="8"/>
  <c r="B116" i="8"/>
  <c r="B115" i="8"/>
  <c r="B114" i="8"/>
  <c r="B111" i="8"/>
  <c r="B110" i="8"/>
  <c r="B109" i="8"/>
  <c r="B108" i="8"/>
  <c r="B107" i="8"/>
  <c r="B106" i="8"/>
  <c r="B105" i="8"/>
  <c r="B104" i="8"/>
  <c r="B112" i="8"/>
  <c r="B103" i="8"/>
  <c r="B102" i="8"/>
  <c r="B99" i="8"/>
  <c r="B98" i="8"/>
  <c r="B97" i="8"/>
  <c r="B96" i="8"/>
  <c r="B95" i="8"/>
  <c r="B94" i="8"/>
  <c r="B93" i="8"/>
  <c r="B92" i="8"/>
  <c r="B91" i="8"/>
  <c r="B90" i="8"/>
  <c r="B89" i="8"/>
  <c r="B88" i="8"/>
  <c r="B87" i="8"/>
  <c r="B100" i="8"/>
  <c r="B84" i="8"/>
  <c r="B83" i="8"/>
  <c r="B82" i="8"/>
  <c r="B81" i="8"/>
  <c r="B80" i="8"/>
  <c r="B79" i="8"/>
  <c r="B78" i="8"/>
  <c r="B77" i="8"/>
  <c r="B76" i="8"/>
  <c r="B75" i="8"/>
  <c r="B74" i="8"/>
  <c r="B73" i="8"/>
  <c r="S111" i="8"/>
  <c r="S112" i="8"/>
  <c r="S113" i="8"/>
  <c r="S114" i="8"/>
  <c r="S115" i="8"/>
  <c r="S116" i="8"/>
  <c r="S117" i="8"/>
  <c r="S118" i="8"/>
  <c r="S119" i="8"/>
  <c r="S120" i="8"/>
  <c r="S121" i="8"/>
  <c r="S122" i="8"/>
  <c r="S123" i="8"/>
  <c r="S124" i="8"/>
  <c r="S125" i="8"/>
  <c r="S126" i="8"/>
  <c r="S127" i="8"/>
  <c r="S128" i="8"/>
  <c r="S129" i="8"/>
  <c r="S130" i="8"/>
  <c r="S131" i="8"/>
  <c r="S132" i="8"/>
  <c r="S133" i="8"/>
  <c r="S134" i="8"/>
  <c r="S135" i="8"/>
  <c r="S136" i="8"/>
  <c r="S137" i="8"/>
  <c r="S138" i="8"/>
  <c r="S139" i="8"/>
  <c r="S140" i="8"/>
  <c r="S141" i="8"/>
  <c r="S142" i="8"/>
  <c r="S143" i="8"/>
  <c r="S144" i="8"/>
  <c r="S145" i="8"/>
  <c r="S146" i="8"/>
  <c r="S147" i="8"/>
  <c r="S148" i="8"/>
  <c r="S149" i="8"/>
  <c r="S150" i="8"/>
  <c r="S151" i="8"/>
  <c r="S152" i="8"/>
  <c r="S153" i="8"/>
  <c r="S154" i="8"/>
  <c r="S155" i="8"/>
  <c r="S156" i="8"/>
  <c r="S157" i="8"/>
  <c r="S158" i="8"/>
  <c r="S159" i="8"/>
  <c r="S160" i="8"/>
  <c r="S161" i="8"/>
  <c r="S162" i="8"/>
  <c r="S163" i="8"/>
  <c r="S164" i="8"/>
  <c r="S165" i="8"/>
  <c r="S166" i="8"/>
  <c r="S167" i="8"/>
  <c r="S73" i="8"/>
  <c r="S74" i="8"/>
  <c r="S75" i="8"/>
  <c r="S76" i="8"/>
  <c r="S77" i="8"/>
  <c r="S78" i="8"/>
  <c r="S79" i="8"/>
  <c r="S80" i="8"/>
  <c r="S81" i="8"/>
  <c r="S82" i="8"/>
  <c r="S83" i="8"/>
  <c r="S84" i="8"/>
  <c r="S85" i="8"/>
  <c r="S86" i="8"/>
  <c r="S87" i="8"/>
  <c r="S88" i="8"/>
  <c r="S89" i="8"/>
  <c r="S90" i="8"/>
  <c r="S91" i="8"/>
  <c r="S92" i="8"/>
  <c r="S93" i="8"/>
  <c r="S94" i="8"/>
  <c r="S95" i="8"/>
  <c r="S96" i="8"/>
  <c r="S97" i="8"/>
  <c r="S98" i="8"/>
  <c r="S99" i="8"/>
  <c r="S100" i="8"/>
  <c r="S101" i="8"/>
  <c r="S102" i="8"/>
  <c r="S103" i="8"/>
  <c r="S104" i="8"/>
  <c r="S105" i="8"/>
  <c r="S106" i="8"/>
  <c r="S107" i="8"/>
  <c r="S108" i="8"/>
  <c r="S109" i="8"/>
  <c r="S110" i="8"/>
  <c r="S72" i="8"/>
  <c r="S71" i="8"/>
  <c r="S65" i="8"/>
  <c r="S66" i="8"/>
  <c r="S67" i="8"/>
  <c r="S69" i="8"/>
  <c r="S70" i="8"/>
  <c r="B65" i="8"/>
  <c r="L65" i="8"/>
  <c r="B64" i="8"/>
  <c r="B63" i="8"/>
  <c r="B62" i="8"/>
  <c r="B61" i="8"/>
  <c r="B60" i="8"/>
  <c r="B59" i="8"/>
  <c r="B58" i="8"/>
  <c r="N58" i="8"/>
  <c r="B57" i="8"/>
  <c r="B56" i="8"/>
  <c r="B53" i="8"/>
  <c r="B52" i="8"/>
  <c r="B51" i="8"/>
  <c r="B50" i="8"/>
  <c r="B49" i="8"/>
  <c r="M49" i="8"/>
  <c r="B48" i="8"/>
  <c r="B47" i="8"/>
  <c r="B46" i="8"/>
  <c r="B45" i="8"/>
  <c r="O45" i="8"/>
  <c r="B44" i="8"/>
  <c r="N44" i="8"/>
  <c r="B43" i="8"/>
  <c r="B42" i="8"/>
  <c r="B41" i="8"/>
  <c r="B40" i="8"/>
  <c r="B39" i="8"/>
  <c r="B38" i="8"/>
  <c r="B37" i="8"/>
  <c r="M37" i="8"/>
  <c r="B36" i="8"/>
  <c r="B35" i="8"/>
  <c r="B34" i="8"/>
  <c r="B33" i="8"/>
  <c r="B32" i="8"/>
  <c r="B26" i="8"/>
  <c r="B25" i="8"/>
  <c r="B24" i="8"/>
  <c r="B21" i="8"/>
  <c r="B20" i="8"/>
  <c r="B19" i="8"/>
  <c r="B18" i="8"/>
  <c r="B15" i="8"/>
  <c r="B14" i="8"/>
  <c r="B13" i="8"/>
  <c r="B12" i="8"/>
  <c r="B11" i="8"/>
  <c r="B10" i="8"/>
  <c r="B9" i="8"/>
  <c r="B8" i="8"/>
  <c r="S62" i="8"/>
  <c r="S63" i="8"/>
  <c r="S64" i="8"/>
  <c r="S58" i="8"/>
  <c r="S59" i="8"/>
  <c r="S60" i="8"/>
  <c r="S61" i="8"/>
  <c r="S48" i="8"/>
  <c r="S49" i="8"/>
  <c r="S50" i="8"/>
  <c r="S51" i="8"/>
  <c r="S52" i="8"/>
  <c r="S53" i="8"/>
  <c r="S54" i="8"/>
  <c r="S55" i="8"/>
  <c r="S56" i="8"/>
  <c r="S57" i="8"/>
  <c r="S44" i="8"/>
  <c r="S45" i="8"/>
  <c r="S46" i="8"/>
  <c r="S47" i="8"/>
  <c r="S37" i="8"/>
  <c r="S38" i="8"/>
  <c r="S39" i="8"/>
  <c r="S40" i="8"/>
  <c r="S41" i="8"/>
  <c r="S42" i="8"/>
  <c r="S43" i="8"/>
  <c r="S19" i="8"/>
  <c r="S20" i="8"/>
  <c r="S21" i="8"/>
  <c r="S22" i="8"/>
  <c r="S23" i="8"/>
  <c r="S24" i="8"/>
  <c r="S25" i="8"/>
  <c r="S26" i="8"/>
  <c r="S27" i="8"/>
  <c r="S28" i="8"/>
  <c r="S29" i="8"/>
  <c r="S30" i="8"/>
  <c r="S31" i="8"/>
  <c r="S32" i="8"/>
  <c r="S33" i="8"/>
  <c r="S34" i="8"/>
  <c r="S35" i="8"/>
  <c r="S36" i="8"/>
  <c r="U164" i="8"/>
  <c r="U162" i="8"/>
  <c r="U161" i="8"/>
  <c r="U160" i="8"/>
  <c r="U159" i="8"/>
  <c r="U158" i="8"/>
  <c r="U157" i="8"/>
  <c r="U156" i="8"/>
  <c r="U153" i="8"/>
  <c r="U152" i="8"/>
  <c r="U151" i="8"/>
  <c r="U150" i="8"/>
  <c r="U149" i="8"/>
  <c r="U148" i="8"/>
  <c r="U147" i="8"/>
  <c r="U144" i="8"/>
  <c r="U143" i="8"/>
  <c r="U142" i="8"/>
  <c r="U141" i="8"/>
  <c r="U140" i="8"/>
  <c r="U139" i="8"/>
  <c r="U138" i="8"/>
  <c r="U137" i="8"/>
  <c r="U136" i="8"/>
  <c r="U135" i="8"/>
  <c r="U134" i="8"/>
  <c r="U133" i="8"/>
  <c r="U132" i="8"/>
  <c r="U131" i="8"/>
  <c r="U130" i="8"/>
  <c r="U129" i="8"/>
  <c r="U128" i="8"/>
  <c r="U127" i="8"/>
  <c r="U126" i="8"/>
  <c r="U123" i="8"/>
  <c r="U124" i="8"/>
  <c r="U120" i="8"/>
  <c r="U119" i="8"/>
  <c r="U116" i="8"/>
  <c r="U115" i="8"/>
  <c r="U114" i="8"/>
  <c r="U111" i="8"/>
  <c r="U110" i="8"/>
  <c r="U109" i="8"/>
  <c r="U108" i="8"/>
  <c r="U107" i="8"/>
  <c r="U106" i="8"/>
  <c r="U105" i="8"/>
  <c r="U104" i="8"/>
  <c r="U103" i="8"/>
  <c r="U102" i="8"/>
  <c r="U99" i="8"/>
  <c r="U98" i="8"/>
  <c r="U97" i="8"/>
  <c r="U96" i="8"/>
  <c r="U95" i="8"/>
  <c r="U94" i="8"/>
  <c r="U93" i="8"/>
  <c r="U92" i="8"/>
  <c r="U91" i="8"/>
  <c r="U90" i="8"/>
  <c r="U89" i="8"/>
  <c r="U88" i="8"/>
  <c r="U87" i="8"/>
  <c r="U84" i="8"/>
  <c r="U83" i="8"/>
  <c r="U82" i="8"/>
  <c r="U81" i="8"/>
  <c r="U80" i="8"/>
  <c r="U79" i="8"/>
  <c r="U78" i="8"/>
  <c r="U77" i="8"/>
  <c r="U76" i="8"/>
  <c r="U75" i="8"/>
  <c r="U74" i="8"/>
  <c r="U73" i="8"/>
  <c r="U69" i="8"/>
  <c r="U70" i="8"/>
  <c r="U65" i="8"/>
  <c r="U64" i="8"/>
  <c r="U63" i="8"/>
  <c r="U62" i="8"/>
  <c r="U61" i="8"/>
  <c r="U60" i="8"/>
  <c r="U59" i="8"/>
  <c r="U58" i="8"/>
  <c r="U57" i="8"/>
  <c r="U56" i="8"/>
  <c r="U53" i="8"/>
  <c r="U52" i="8"/>
  <c r="U51" i="8"/>
  <c r="U50" i="8"/>
  <c r="U49" i="8"/>
  <c r="U48" i="8"/>
  <c r="U47" i="8"/>
  <c r="U46" i="8"/>
  <c r="U45" i="8"/>
  <c r="U44" i="8"/>
  <c r="U43" i="8"/>
  <c r="U42" i="8"/>
  <c r="U41" i="8"/>
  <c r="U40" i="8"/>
  <c r="U39" i="8"/>
  <c r="U38" i="8"/>
  <c r="U37" i="8"/>
  <c r="U36" i="8"/>
  <c r="U35" i="8"/>
  <c r="U34" i="8"/>
  <c r="U33" i="8"/>
  <c r="U32" i="8"/>
  <c r="U26" i="8"/>
  <c r="U25" i="8"/>
  <c r="U24" i="8"/>
  <c r="U21" i="8"/>
  <c r="U20" i="8"/>
  <c r="U19" i="8"/>
  <c r="U18" i="8"/>
  <c r="U15" i="8"/>
  <c r="U14" i="8"/>
  <c r="U13" i="8"/>
  <c r="U12" i="8"/>
  <c r="U11" i="8"/>
  <c r="U10" i="8"/>
  <c r="U9" i="8"/>
  <c r="U8" i="8"/>
  <c r="S8" i="8"/>
  <c r="S9" i="8"/>
  <c r="S10" i="8"/>
  <c r="S11" i="8"/>
  <c r="S12" i="8"/>
  <c r="S13" i="8"/>
  <c r="S14" i="8"/>
  <c r="S15" i="8"/>
  <c r="S16" i="8"/>
  <c r="S17" i="8"/>
  <c r="S18" i="8"/>
  <c r="S7" i="8"/>
  <c r="M58" i="8"/>
  <c r="M44" i="8"/>
  <c r="B27" i="8"/>
  <c r="B66" i="8"/>
  <c r="O37" i="8"/>
  <c r="N45" i="8"/>
  <c r="O49" i="8"/>
  <c r="L58" i="8"/>
  <c r="O65" i="8"/>
  <c r="M45" i="8"/>
  <c r="K65" i="8"/>
  <c r="B54" i="8"/>
  <c r="B16" i="8"/>
  <c r="B22" i="8"/>
  <c r="N65" i="8"/>
  <c r="N37" i="8"/>
  <c r="O44" i="8"/>
  <c r="N49" i="8"/>
  <c r="O58" i="8"/>
  <c r="K58" i="8"/>
  <c r="Q58" i="8"/>
  <c r="M65" i="8"/>
  <c r="U16" i="8"/>
  <c r="U121" i="8"/>
  <c r="U22" i="8"/>
  <c r="U163" i="8"/>
  <c r="U27" i="8"/>
  <c r="U66" i="8"/>
  <c r="U85" i="8"/>
  <c r="U100" i="8"/>
  <c r="U117" i="8"/>
  <c r="U154" i="8"/>
  <c r="U112" i="8"/>
  <c r="U145" i="8"/>
  <c r="U54" i="8"/>
  <c r="Q65" i="8"/>
  <c r="B28" i="8"/>
  <c r="B29" i="8"/>
  <c r="U28" i="8"/>
  <c r="U29" i="8"/>
  <c r="U165" i="8"/>
  <c r="Q17" i="8"/>
  <c r="Q23" i="8"/>
  <c r="Q30" i="8"/>
  <c r="Q31" i="8"/>
  <c r="Q55" i="8"/>
  <c r="Q67" i="8"/>
  <c r="Q72" i="8"/>
  <c r="Q86" i="8"/>
  <c r="Q101" i="8"/>
  <c r="Q113" i="8"/>
  <c r="Q118" i="8"/>
  <c r="Q122" i="8"/>
  <c r="Q125" i="8"/>
  <c r="Q146" i="8"/>
  <c r="Q155" i="8"/>
  <c r="N144" i="8"/>
  <c r="M143" i="8"/>
  <c r="O142" i="8"/>
  <c r="N141" i="8"/>
  <c r="N140" i="8"/>
  <c r="M139" i="8"/>
  <c r="N138" i="8"/>
  <c r="N136" i="8"/>
  <c r="O134" i="8"/>
  <c r="N132" i="8"/>
  <c r="N131" i="8"/>
  <c r="N130" i="8"/>
  <c r="N128" i="8"/>
  <c r="N127" i="8"/>
  <c r="M126" i="8"/>
  <c r="Q124" i="8"/>
  <c r="O120" i="8"/>
  <c r="M109" i="8"/>
  <c r="M98" i="8"/>
  <c r="O97" i="8"/>
  <c r="M69" i="8"/>
  <c r="O64" i="8"/>
  <c r="L63" i="8"/>
  <c r="O62" i="8"/>
  <c r="N61" i="8"/>
  <c r="N60" i="8"/>
  <c r="N59" i="8"/>
  <c r="L57" i="8"/>
  <c r="N53" i="8"/>
  <c r="N50" i="8"/>
  <c r="O42" i="8"/>
  <c r="M38" i="8"/>
  <c r="O35" i="8"/>
  <c r="M33" i="8"/>
  <c r="O32" i="8"/>
  <c r="M26" i="8"/>
  <c r="M21" i="8"/>
  <c r="N18" i="8"/>
  <c r="M15" i="8"/>
  <c r="O12" i="8"/>
  <c r="N10" i="8"/>
  <c r="N8" i="8"/>
  <c r="U166" i="8"/>
  <c r="U167" i="8"/>
  <c r="N57" i="8"/>
  <c r="N143" i="8"/>
  <c r="M127" i="8"/>
  <c r="K61" i="8"/>
  <c r="M136" i="8"/>
  <c r="M140" i="8"/>
  <c r="L8" i="8"/>
  <c r="M50" i="8"/>
  <c r="N98" i="8"/>
  <c r="O140" i="8"/>
  <c r="Q121" i="8"/>
  <c r="K18" i="8"/>
  <c r="N97" i="8"/>
  <c r="N33" i="8"/>
  <c r="L64" i="8"/>
  <c r="O61" i="8"/>
  <c r="O59" i="8"/>
  <c r="O128" i="8"/>
  <c r="M134" i="8"/>
  <c r="O144" i="8"/>
  <c r="Q154" i="8"/>
  <c r="M61" i="8"/>
  <c r="O98" i="8"/>
  <c r="M64" i="8"/>
  <c r="K64" i="8"/>
  <c r="M128" i="8"/>
  <c r="O132" i="8"/>
  <c r="M144" i="8"/>
  <c r="M43" i="8"/>
  <c r="N43" i="8"/>
  <c r="O43" i="8"/>
  <c r="O9" i="8"/>
  <c r="K9" i="8"/>
  <c r="N9" i="8"/>
  <c r="M9" i="8"/>
  <c r="L9" i="8"/>
  <c r="N13" i="8"/>
  <c r="M13" i="8"/>
  <c r="O34" i="8"/>
  <c r="K34" i="8"/>
  <c r="L34" i="8"/>
  <c r="N34" i="8"/>
  <c r="M39" i="8"/>
  <c r="N39" i="8"/>
  <c r="M34" i="8"/>
  <c r="O39" i="8"/>
  <c r="O13" i="8"/>
  <c r="O14" i="8"/>
  <c r="N14" i="8"/>
  <c r="M141" i="8"/>
  <c r="O20" i="8"/>
  <c r="N26" i="8"/>
  <c r="M40" i="8"/>
  <c r="N46" i="8"/>
  <c r="O51" i="8"/>
  <c r="M57" i="8"/>
  <c r="K57" i="8"/>
  <c r="Q70" i="8"/>
  <c r="O69" i="8"/>
  <c r="N69" i="8"/>
  <c r="N109" i="8"/>
  <c r="M129" i="8"/>
  <c r="M133" i="8"/>
  <c r="N133" i="8"/>
  <c r="M137" i="8"/>
  <c r="O137" i="8"/>
  <c r="I3" i="8"/>
  <c r="F49" i="8"/>
  <c r="L49" i="8"/>
  <c r="O26" i="8"/>
  <c r="O40" i="8"/>
  <c r="N35" i="8"/>
  <c r="N51" i="8"/>
  <c r="O109" i="8"/>
  <c r="N137" i="8"/>
  <c r="O141" i="8"/>
  <c r="N11" i="8"/>
  <c r="M11" i="8"/>
  <c r="N15" i="8"/>
  <c r="O15" i="8"/>
  <c r="O21" i="8"/>
  <c r="M32" i="8"/>
  <c r="K32" i="8"/>
  <c r="O36" i="8"/>
  <c r="O41" i="8"/>
  <c r="M41" i="8"/>
  <c r="N47" i="8"/>
  <c r="O47" i="8"/>
  <c r="N52" i="8"/>
  <c r="L59" i="8"/>
  <c r="K59" i="8"/>
  <c r="L62" i="8"/>
  <c r="M62" i="8"/>
  <c r="Q100" i="8"/>
  <c r="Q145" i="8"/>
  <c r="M130" i="8"/>
  <c r="N134" i="8"/>
  <c r="O138" i="8"/>
  <c r="M10" i="8"/>
  <c r="O11" i="8"/>
  <c r="M14" i="8"/>
  <c r="M20" i="8"/>
  <c r="N21" i="8"/>
  <c r="L32" i="8"/>
  <c r="O46" i="8"/>
  <c r="N40" i="8"/>
  <c r="N36" i="8"/>
  <c r="M35" i="8"/>
  <c r="O52" i="8"/>
  <c r="M51" i="8"/>
  <c r="M47" i="8"/>
  <c r="N62" i="8"/>
  <c r="M59" i="8"/>
  <c r="N126" i="8"/>
  <c r="N129" i="8"/>
  <c r="O130" i="8"/>
  <c r="O133" i="8"/>
  <c r="M142" i="8"/>
  <c r="Q16" i="8"/>
  <c r="M12" i="8"/>
  <c r="N12" i="8"/>
  <c r="Q22" i="8"/>
  <c r="M18" i="8"/>
  <c r="O18" i="8"/>
  <c r="Q27" i="8"/>
  <c r="L33" i="8"/>
  <c r="K33" i="8"/>
  <c r="N38" i="8"/>
  <c r="N42" i="8"/>
  <c r="M42" i="8"/>
  <c r="M48" i="8"/>
  <c r="O48" i="8"/>
  <c r="M53" i="8"/>
  <c r="K60" i="8"/>
  <c r="O60" i="8"/>
  <c r="L60" i="8"/>
  <c r="K63" i="8"/>
  <c r="O63" i="8"/>
  <c r="M63" i="8"/>
  <c r="M97" i="8"/>
  <c r="Q112" i="8"/>
  <c r="Q117" i="8"/>
  <c r="M120" i="8"/>
  <c r="O127" i="8"/>
  <c r="O131" i="8"/>
  <c r="M131" i="8"/>
  <c r="O135" i="8"/>
  <c r="N135" i="8"/>
  <c r="O139" i="8"/>
  <c r="O143" i="8"/>
  <c r="M8" i="8"/>
  <c r="O10" i="8"/>
  <c r="L18" i="8"/>
  <c r="N20" i="8"/>
  <c r="N32" i="8"/>
  <c r="O33" i="8"/>
  <c r="M46" i="8"/>
  <c r="N41" i="8"/>
  <c r="O38" i="8"/>
  <c r="M36" i="8"/>
  <c r="O53" i="8"/>
  <c r="M52" i="8"/>
  <c r="N48" i="8"/>
  <c r="N63" i="8"/>
  <c r="K62" i="8"/>
  <c r="M60" i="8"/>
  <c r="O57" i="8"/>
  <c r="N120" i="8"/>
  <c r="O126" i="8"/>
  <c r="O129" i="8"/>
  <c r="M135" i="8"/>
  <c r="M138" i="8"/>
  <c r="N139" i="8"/>
  <c r="N142" i="8"/>
  <c r="Q66" i="8"/>
  <c r="Q163" i="8"/>
  <c r="O50" i="8"/>
  <c r="N64" i="8"/>
  <c r="L61" i="8"/>
  <c r="M132" i="8"/>
  <c r="O136" i="8"/>
  <c r="Q54" i="8"/>
  <c r="Q34" i="8"/>
  <c r="Q64" i="8"/>
  <c r="F37" i="8"/>
  <c r="L37" i="8"/>
  <c r="F45" i="8"/>
  <c r="L45" i="8"/>
  <c r="F44" i="8"/>
  <c r="L44" i="8"/>
  <c r="Q59" i="8"/>
  <c r="Q62" i="8"/>
  <c r="Q9" i="8"/>
  <c r="Q61" i="8"/>
  <c r="Q63" i="8"/>
  <c r="Q60" i="8"/>
  <c r="B71" i="8"/>
  <c r="B85" i="8"/>
  <c r="Q33" i="8"/>
  <c r="Q57" i="8"/>
  <c r="Q32" i="8"/>
  <c r="H3" i="8"/>
  <c r="E49" i="8"/>
  <c r="K49" i="8"/>
  <c r="Q49" i="8"/>
  <c r="F115" i="8"/>
  <c r="L115" i="8"/>
  <c r="F107" i="8"/>
  <c r="L107" i="8"/>
  <c r="F114" i="8"/>
  <c r="L114" i="8"/>
  <c r="F109" i="8"/>
  <c r="L109" i="8"/>
  <c r="F141" i="8"/>
  <c r="L141" i="8"/>
  <c r="F132" i="8"/>
  <c r="L132" i="8"/>
  <c r="F134" i="8"/>
  <c r="L134" i="8"/>
  <c r="F130" i="8"/>
  <c r="L130" i="8"/>
  <c r="F128" i="8"/>
  <c r="L128" i="8"/>
  <c r="F126" i="8"/>
  <c r="L126" i="8"/>
  <c r="F143" i="8"/>
  <c r="L143" i="8"/>
  <c r="F142" i="8"/>
  <c r="L142" i="8"/>
  <c r="F137" i="8"/>
  <c r="L137" i="8"/>
  <c r="F135" i="8"/>
  <c r="L135" i="8"/>
  <c r="F98" i="8"/>
  <c r="L98" i="8"/>
  <c r="F40" i="8"/>
  <c r="L40" i="8"/>
  <c r="F53" i="8"/>
  <c r="L53" i="8"/>
  <c r="F51" i="8"/>
  <c r="L51" i="8"/>
  <c r="F48" i="8"/>
  <c r="L48" i="8"/>
  <c r="F46" i="8"/>
  <c r="L46" i="8"/>
  <c r="F42" i="8"/>
  <c r="L42" i="8"/>
  <c r="F39" i="8"/>
  <c r="L39" i="8"/>
  <c r="F36" i="8"/>
  <c r="L36" i="8"/>
  <c r="F26" i="8"/>
  <c r="L26" i="8"/>
  <c r="F20" i="8"/>
  <c r="L20" i="8"/>
  <c r="F14" i="8"/>
  <c r="L14" i="8"/>
  <c r="F12" i="8"/>
  <c r="L12" i="8"/>
  <c r="F10" i="8"/>
  <c r="L10" i="8"/>
  <c r="F136" i="8"/>
  <c r="L136" i="8"/>
  <c r="F129" i="8"/>
  <c r="L129" i="8"/>
  <c r="F50" i="8"/>
  <c r="L50" i="8"/>
  <c r="F38" i="8"/>
  <c r="L38" i="8"/>
  <c r="F13" i="8"/>
  <c r="L13" i="8"/>
  <c r="F144" i="8"/>
  <c r="L144" i="8"/>
  <c r="F140" i="8"/>
  <c r="L140" i="8"/>
  <c r="F52" i="8"/>
  <c r="L52" i="8"/>
  <c r="F41" i="8"/>
  <c r="L41" i="8"/>
  <c r="F15" i="8"/>
  <c r="L15" i="8"/>
  <c r="F120" i="8"/>
  <c r="L120" i="8"/>
  <c r="F133" i="8"/>
  <c r="L133" i="8"/>
  <c r="F131" i="8"/>
  <c r="L131" i="8"/>
  <c r="F127" i="8"/>
  <c r="L127" i="8"/>
  <c r="F69" i="8"/>
  <c r="L69" i="8"/>
  <c r="F43" i="8"/>
  <c r="L43" i="8"/>
  <c r="F21" i="8"/>
  <c r="L21" i="8"/>
  <c r="F138" i="8"/>
  <c r="L138" i="8"/>
  <c r="F139" i="8"/>
  <c r="L139" i="8"/>
  <c r="F97" i="8"/>
  <c r="L97" i="8"/>
  <c r="F11" i="8"/>
  <c r="L11" i="8"/>
  <c r="F35" i="8"/>
  <c r="L35" i="8"/>
  <c r="F47" i="8"/>
  <c r="L47" i="8"/>
  <c r="Q18" i="8"/>
  <c r="L105" i="8"/>
  <c r="L103" i="8"/>
  <c r="L102" i="8"/>
  <c r="L106" i="8"/>
  <c r="N107" i="8"/>
  <c r="N114" i="8"/>
  <c r="N105" i="8"/>
  <c r="N115" i="8"/>
  <c r="B165" i="8"/>
  <c r="B166" i="8"/>
  <c r="B167" i="8"/>
  <c r="Q85" i="8"/>
  <c r="Q28" i="8"/>
  <c r="E37" i="8"/>
  <c r="K37" i="8"/>
  <c r="Q37" i="8"/>
  <c r="E45" i="8"/>
  <c r="K45" i="8"/>
  <c r="Q45" i="8"/>
  <c r="E44" i="8"/>
  <c r="K44" i="8"/>
  <c r="Q44" i="8"/>
  <c r="E115" i="8"/>
  <c r="K115" i="8"/>
  <c r="E107" i="8"/>
  <c r="K107" i="8"/>
  <c r="E114" i="8"/>
  <c r="K114" i="8"/>
  <c r="E143" i="8"/>
  <c r="K143" i="8"/>
  <c r="Q143" i="8"/>
  <c r="E133" i="8"/>
  <c r="K133" i="8"/>
  <c r="E137" i="8"/>
  <c r="K137" i="8"/>
  <c r="Q137" i="8"/>
  <c r="E139" i="8"/>
  <c r="K139" i="8"/>
  <c r="Q139" i="8"/>
  <c r="E140" i="8"/>
  <c r="K140" i="8"/>
  <c r="E131" i="8"/>
  <c r="K131" i="8"/>
  <c r="Q131" i="8"/>
  <c r="E128" i="8"/>
  <c r="K128" i="8"/>
  <c r="Q128" i="8"/>
  <c r="E144" i="8"/>
  <c r="K144" i="8"/>
  <c r="Q144" i="8"/>
  <c r="E141" i="8"/>
  <c r="K141" i="8"/>
  <c r="Q141" i="8"/>
  <c r="E135" i="8"/>
  <c r="K135" i="8"/>
  <c r="Q135" i="8"/>
  <c r="E126" i="8"/>
  <c r="K126" i="8"/>
  <c r="E97" i="8"/>
  <c r="K97" i="8"/>
  <c r="E53" i="8"/>
  <c r="K53" i="8"/>
  <c r="E47" i="8"/>
  <c r="K47" i="8"/>
  <c r="Q47" i="8"/>
  <c r="E42" i="8"/>
  <c r="K42" i="8"/>
  <c r="Q42" i="8"/>
  <c r="E35" i="8"/>
  <c r="K35" i="8"/>
  <c r="E20" i="8"/>
  <c r="K20" i="8"/>
  <c r="E11" i="8"/>
  <c r="K11" i="8"/>
  <c r="E109" i="8"/>
  <c r="K109" i="8"/>
  <c r="Q109" i="8"/>
  <c r="E138" i="8"/>
  <c r="K138" i="8"/>
  <c r="Q138" i="8"/>
  <c r="E134" i="8"/>
  <c r="K134" i="8"/>
  <c r="Q134" i="8"/>
  <c r="E129" i="8"/>
  <c r="K129" i="8"/>
  <c r="Q129" i="8"/>
  <c r="E40" i="8"/>
  <c r="K40" i="8"/>
  <c r="E50" i="8"/>
  <c r="K50" i="8"/>
  <c r="E46" i="8"/>
  <c r="K46" i="8"/>
  <c r="Q46" i="8"/>
  <c r="E38" i="8"/>
  <c r="K38" i="8"/>
  <c r="Q38" i="8"/>
  <c r="E26" i="8"/>
  <c r="K26" i="8"/>
  <c r="Q26" i="8"/>
  <c r="E13" i="8"/>
  <c r="K13" i="8"/>
  <c r="Q13" i="8"/>
  <c r="E10" i="8"/>
  <c r="K10" i="8"/>
  <c r="Q10" i="8"/>
  <c r="E132" i="8"/>
  <c r="K132" i="8"/>
  <c r="E98" i="8"/>
  <c r="K98" i="8"/>
  <c r="E52" i="8"/>
  <c r="K52" i="8"/>
  <c r="Q52" i="8"/>
  <c r="E48" i="8"/>
  <c r="K48" i="8"/>
  <c r="Q48" i="8"/>
  <c r="E41" i="8"/>
  <c r="K41" i="8"/>
  <c r="Q41" i="8"/>
  <c r="E36" i="8"/>
  <c r="K36" i="8"/>
  <c r="E15" i="8"/>
  <c r="K15" i="8"/>
  <c r="Q15" i="8"/>
  <c r="E12" i="8"/>
  <c r="K12" i="8"/>
  <c r="Q12" i="8"/>
  <c r="E120" i="8"/>
  <c r="K120" i="8"/>
  <c r="E142" i="8"/>
  <c r="K142" i="8"/>
  <c r="Q142" i="8"/>
  <c r="E136" i="8"/>
  <c r="K136" i="8"/>
  <c r="Q136" i="8"/>
  <c r="E130" i="8"/>
  <c r="K130" i="8"/>
  <c r="Q130" i="8"/>
  <c r="E127" i="8"/>
  <c r="K127" i="8"/>
  <c r="Q127" i="8"/>
  <c r="E43" i="8"/>
  <c r="K43" i="8"/>
  <c r="Q43" i="8"/>
  <c r="E14" i="8"/>
  <c r="K14" i="8"/>
  <c r="E69" i="8"/>
  <c r="K69" i="8"/>
  <c r="E39" i="8"/>
  <c r="K39" i="8"/>
  <c r="Q39" i="8"/>
  <c r="E51" i="8"/>
  <c r="K51" i="8"/>
  <c r="E21" i="8"/>
  <c r="K21" i="8"/>
  <c r="M115" i="8"/>
  <c r="M107" i="8"/>
  <c r="M114" i="8"/>
  <c r="O105" i="8"/>
  <c r="O106" i="8"/>
  <c r="O103" i="8"/>
  <c r="O102" i="8"/>
  <c r="O115" i="8"/>
  <c r="O114" i="8"/>
  <c r="O107" i="8"/>
  <c r="N102" i="8"/>
  <c r="N106" i="8"/>
  <c r="N103" i="8"/>
  <c r="K106" i="8"/>
  <c r="K102" i="8"/>
  <c r="K105" i="8"/>
  <c r="K103" i="8"/>
  <c r="Q29" i="8"/>
  <c r="Q120" i="8"/>
  <c r="Q132" i="8"/>
  <c r="Q11" i="8"/>
  <c r="Q133" i="8"/>
  <c r="Q51" i="8"/>
  <c r="Q36" i="8"/>
  <c r="Q98" i="8"/>
  <c r="Q40" i="8"/>
  <c r="Q126" i="8"/>
  <c r="Q69" i="8"/>
  <c r="Q20" i="8"/>
  <c r="Q53" i="8"/>
  <c r="Q140" i="8"/>
  <c r="Q21" i="8"/>
  <c r="Q14" i="8"/>
  <c r="Q50" i="8"/>
  <c r="Q35" i="8"/>
  <c r="Q97" i="8"/>
  <c r="Q115" i="8"/>
  <c r="Q107" i="8"/>
  <c r="Q114" i="8"/>
  <c r="K151" i="7"/>
  <c r="K152" i="7"/>
  <c r="K153" i="7"/>
  <c r="K154" i="7"/>
  <c r="J155" i="7"/>
  <c r="I155" i="7"/>
  <c r="J24" i="7"/>
  <c r="J31" i="7"/>
  <c r="E154" i="7"/>
  <c r="E153" i="7"/>
  <c r="E152" i="7"/>
  <c r="E151" i="7"/>
  <c r="E150" i="7"/>
  <c r="N47" i="7"/>
  <c r="N48" i="7"/>
  <c r="N49" i="7"/>
  <c r="N50" i="7"/>
  <c r="N51" i="7"/>
  <c r="N34" i="7"/>
  <c r="N35" i="7"/>
  <c r="N36" i="7"/>
  <c r="N37" i="7"/>
  <c r="N40" i="7"/>
  <c r="N41" i="7"/>
  <c r="N20" i="7"/>
  <c r="N21" i="7"/>
  <c r="N22" i="7"/>
  <c r="N23" i="7"/>
  <c r="N26" i="7"/>
  <c r="N28" i="7"/>
  <c r="N29" i="7"/>
  <c r="N30" i="7"/>
  <c r="N59" i="7"/>
  <c r="N60" i="7"/>
  <c r="N61" i="7"/>
  <c r="N62" i="7"/>
  <c r="N64" i="7"/>
  <c r="N68" i="7"/>
  <c r="N69" i="7"/>
  <c r="N70" i="7"/>
  <c r="N71" i="7"/>
  <c r="N72" i="7"/>
  <c r="N73" i="7"/>
  <c r="N74" i="7"/>
  <c r="N75" i="7"/>
  <c r="N79" i="7"/>
  <c r="N80" i="7"/>
  <c r="N81" i="7"/>
  <c r="N82" i="7"/>
  <c r="N83" i="7"/>
  <c r="N91" i="7"/>
  <c r="N99" i="7"/>
  <c r="N100" i="7"/>
  <c r="N101" i="7"/>
  <c r="N103" i="7"/>
  <c r="N104" i="7"/>
  <c r="N110" i="7"/>
  <c r="N111" i="7"/>
  <c r="N112" i="7"/>
  <c r="N113" i="7"/>
  <c r="N117" i="7"/>
  <c r="N118" i="7"/>
  <c r="N119" i="7"/>
  <c r="N120" i="7"/>
  <c r="N124" i="7"/>
  <c r="N125" i="7"/>
  <c r="N126" i="7"/>
  <c r="N142" i="7"/>
  <c r="M76" i="7"/>
  <c r="M84" i="7"/>
  <c r="L24" i="7"/>
  <c r="L31" i="7"/>
  <c r="L76" i="7"/>
  <c r="L84" i="7"/>
  <c r="K24" i="7"/>
  <c r="K31" i="7"/>
  <c r="K76" i="7"/>
  <c r="K84" i="7"/>
  <c r="J76" i="7"/>
  <c r="J84" i="7"/>
  <c r="I76" i="7"/>
  <c r="I84" i="7"/>
  <c r="G65" i="7"/>
  <c r="G76" i="7"/>
  <c r="G84" i="7"/>
  <c r="Q24" i="7"/>
  <c r="U24" i="7"/>
  <c r="R24" i="7"/>
  <c r="S24" i="7"/>
  <c r="T24" i="7"/>
  <c r="N11" i="7"/>
  <c r="N10" i="7"/>
  <c r="K155" i="7"/>
  <c r="G86" i="7"/>
  <c r="N84" i="7"/>
  <c r="N76" i="7"/>
  <c r="N114" i="7"/>
  <c r="N56" i="8"/>
  <c r="N71" i="8"/>
  <c r="L56" i="8"/>
  <c r="J65" i="7"/>
  <c r="J86" i="7"/>
  <c r="O56" i="8"/>
  <c r="M65" i="7"/>
  <c r="M86" i="7"/>
  <c r="M56" i="8"/>
  <c r="N3" i="8"/>
  <c r="H111" i="8"/>
  <c r="N111" i="8"/>
  <c r="L65" i="7"/>
  <c r="L86" i="7"/>
  <c r="L71" i="8"/>
  <c r="O71" i="8"/>
  <c r="H158" i="8"/>
  <c r="N158" i="8"/>
  <c r="K65" i="7"/>
  <c r="K86" i="7"/>
  <c r="M71" i="8"/>
  <c r="J42" i="7"/>
  <c r="H157" i="8"/>
  <c r="N157" i="8"/>
  <c r="H95" i="8"/>
  <c r="N95" i="8"/>
  <c r="H79" i="8"/>
  <c r="N79" i="8"/>
  <c r="H161" i="8"/>
  <c r="N161" i="8"/>
  <c r="H77" i="8"/>
  <c r="N77" i="8"/>
  <c r="H159" i="8"/>
  <c r="N159" i="8"/>
  <c r="H90" i="8"/>
  <c r="N90" i="8"/>
  <c r="H83" i="8"/>
  <c r="N83" i="8"/>
  <c r="L42" i="7"/>
  <c r="H94" i="8"/>
  <c r="N94" i="8"/>
  <c r="H164" i="8"/>
  <c r="N164" i="8"/>
  <c r="H156" i="8"/>
  <c r="N156" i="8"/>
  <c r="H119" i="8"/>
  <c r="N119" i="8"/>
  <c r="H88" i="8"/>
  <c r="N88" i="8"/>
  <c r="H81" i="8"/>
  <c r="N81" i="8"/>
  <c r="H152" i="8"/>
  <c r="N152" i="8"/>
  <c r="H148" i="8"/>
  <c r="N148" i="8"/>
  <c r="H104" i="8"/>
  <c r="N104" i="8"/>
  <c r="H116" i="8"/>
  <c r="N116" i="8"/>
  <c r="H151" i="8"/>
  <c r="N151" i="8"/>
  <c r="H110" i="8"/>
  <c r="N110" i="8"/>
  <c r="H87" i="8"/>
  <c r="N87" i="8"/>
  <c r="H91" i="8"/>
  <c r="N91" i="8"/>
  <c r="H73" i="8"/>
  <c r="N73" i="8"/>
  <c r="H108" i="8"/>
  <c r="N108" i="8"/>
  <c r="H74" i="8"/>
  <c r="N74" i="8"/>
  <c r="H123" i="8"/>
  <c r="N123" i="8"/>
  <c r="H19" i="8"/>
  <c r="N19" i="8"/>
  <c r="H99" i="8"/>
  <c r="N99" i="8"/>
  <c r="H25" i="8"/>
  <c r="N25" i="8"/>
  <c r="H93" i="8"/>
  <c r="N93" i="8"/>
  <c r="H78" i="8"/>
  <c r="N78" i="8"/>
  <c r="H82" i="8"/>
  <c r="N82" i="8"/>
  <c r="H84" i="8"/>
  <c r="N84" i="8"/>
  <c r="H92" i="8"/>
  <c r="N92" i="8"/>
  <c r="H24" i="8"/>
  <c r="N24" i="8"/>
  <c r="H75" i="8"/>
  <c r="N75" i="8"/>
  <c r="H153" i="8"/>
  <c r="N153" i="8"/>
  <c r="H149" i="8"/>
  <c r="N149" i="8"/>
  <c r="H89" i="8"/>
  <c r="N89" i="8"/>
  <c r="H150" i="8"/>
  <c r="N150" i="8"/>
  <c r="H96" i="8"/>
  <c r="N96" i="8"/>
  <c r="H162" i="8"/>
  <c r="N162" i="8"/>
  <c r="H160" i="8"/>
  <c r="N160" i="8"/>
  <c r="H80" i="8"/>
  <c r="N80" i="8"/>
  <c r="H76" i="8"/>
  <c r="N76" i="8"/>
  <c r="H147" i="8"/>
  <c r="N147" i="8"/>
  <c r="M3" i="8"/>
  <c r="G93" i="8"/>
  <c r="M93" i="8"/>
  <c r="O3" i="8"/>
  <c r="I111" i="8"/>
  <c r="O111" i="8"/>
  <c r="L3" i="8"/>
  <c r="F152" i="8"/>
  <c r="L152" i="8"/>
  <c r="F99" i="8"/>
  <c r="L99" i="8"/>
  <c r="F156" i="8"/>
  <c r="L156" i="8"/>
  <c r="F76" i="8"/>
  <c r="L76" i="8"/>
  <c r="I82" i="8"/>
  <c r="O82" i="8"/>
  <c r="F79" i="8"/>
  <c r="L79" i="8"/>
  <c r="F90" i="8"/>
  <c r="L90" i="8"/>
  <c r="F123" i="8"/>
  <c r="L123" i="8"/>
  <c r="F147" i="8"/>
  <c r="L147" i="8"/>
  <c r="F25" i="8"/>
  <c r="L25" i="8"/>
  <c r="F24" i="8"/>
  <c r="L24" i="8"/>
  <c r="F88" i="8"/>
  <c r="L88" i="8"/>
  <c r="F77" i="8"/>
  <c r="L77" i="8"/>
  <c r="F119" i="8"/>
  <c r="L119" i="8"/>
  <c r="F73" i="8"/>
  <c r="L73" i="8"/>
  <c r="F164" i="8"/>
  <c r="L164" i="8"/>
  <c r="F91" i="8"/>
  <c r="L91" i="8"/>
  <c r="F83" i="8"/>
  <c r="L83" i="8"/>
  <c r="F104" i="8"/>
  <c r="L104" i="8"/>
  <c r="F96" i="8"/>
  <c r="L96" i="8"/>
  <c r="F153" i="8"/>
  <c r="L153" i="8"/>
  <c r="I153" i="8"/>
  <c r="O153" i="8"/>
  <c r="I164" i="8"/>
  <c r="O164" i="8"/>
  <c r="M42" i="7"/>
  <c r="I110" i="8"/>
  <c r="O110" i="8"/>
  <c r="L106" i="7"/>
  <c r="G152" i="8"/>
  <c r="M152" i="8"/>
  <c r="G81" i="8"/>
  <c r="M81" i="8"/>
  <c r="K42" i="7"/>
  <c r="G88" i="8"/>
  <c r="M88" i="8"/>
  <c r="G164" i="8"/>
  <c r="M164" i="8"/>
  <c r="G156" i="8"/>
  <c r="M156" i="8"/>
  <c r="G79" i="8"/>
  <c r="M79" i="8"/>
  <c r="G159" i="8"/>
  <c r="M159" i="8"/>
  <c r="G78" i="8"/>
  <c r="M78" i="8"/>
  <c r="G80" i="8"/>
  <c r="M80" i="8"/>
  <c r="G123" i="8"/>
  <c r="M123" i="8"/>
  <c r="G99" i="8"/>
  <c r="M99" i="8"/>
  <c r="L52" i="7"/>
  <c r="L54" i="7"/>
  <c r="I147" i="8"/>
  <c r="O147" i="8"/>
  <c r="I80" i="8"/>
  <c r="O80" i="8"/>
  <c r="I116" i="8"/>
  <c r="O116" i="8"/>
  <c r="I81" i="8"/>
  <c r="O81" i="8"/>
  <c r="I152" i="8"/>
  <c r="O152" i="8"/>
  <c r="I157" i="8"/>
  <c r="O157" i="8"/>
  <c r="F95" i="8"/>
  <c r="L95" i="8"/>
  <c r="F87" i="8"/>
  <c r="L87" i="8"/>
  <c r="F160" i="8"/>
  <c r="L160" i="8"/>
  <c r="F151" i="8"/>
  <c r="L151" i="8"/>
  <c r="F157" i="8"/>
  <c r="L157" i="8"/>
  <c r="F78" i="8"/>
  <c r="L78" i="8"/>
  <c r="F148" i="8"/>
  <c r="L148" i="8"/>
  <c r="F84" i="8"/>
  <c r="L84" i="8"/>
  <c r="I79" i="8"/>
  <c r="O79" i="8"/>
  <c r="I92" i="8"/>
  <c r="O92" i="8"/>
  <c r="G19" i="8"/>
  <c r="M19" i="8"/>
  <c r="G89" i="8"/>
  <c r="M89" i="8"/>
  <c r="G151" i="8"/>
  <c r="M151" i="8"/>
  <c r="G116" i="8"/>
  <c r="M116" i="8"/>
  <c r="G161" i="8"/>
  <c r="M161" i="8"/>
  <c r="G148" i="8"/>
  <c r="M148" i="8"/>
  <c r="G157" i="8"/>
  <c r="M157" i="8"/>
  <c r="N165" i="8"/>
  <c r="G24" i="8"/>
  <c r="M24" i="8"/>
  <c r="G103" i="8"/>
  <c r="M103" i="8"/>
  <c r="N102" i="7"/>
  <c r="G149" i="8"/>
  <c r="M149" i="8"/>
  <c r="G96" i="8"/>
  <c r="M96" i="8"/>
  <c r="G77" i="8"/>
  <c r="M77" i="8"/>
  <c r="G104" i="8"/>
  <c r="M104" i="8"/>
  <c r="G90" i="8"/>
  <c r="M90" i="8"/>
  <c r="G25" i="8"/>
  <c r="M25" i="8"/>
  <c r="G75" i="8"/>
  <c r="M75" i="8"/>
  <c r="G102" i="8"/>
  <c r="M102" i="8"/>
  <c r="G73" i="8"/>
  <c r="M73" i="8"/>
  <c r="G94" i="8"/>
  <c r="M94" i="8"/>
  <c r="G119" i="8"/>
  <c r="M119" i="8"/>
  <c r="G87" i="8"/>
  <c r="M87" i="8"/>
  <c r="G92" i="8"/>
  <c r="M92" i="8"/>
  <c r="G108" i="8"/>
  <c r="M108" i="8"/>
  <c r="G83" i="8"/>
  <c r="M83" i="8"/>
  <c r="G153" i="8"/>
  <c r="M153" i="8"/>
  <c r="G110" i="8"/>
  <c r="M110" i="8"/>
  <c r="G106" i="8"/>
  <c r="M106" i="8"/>
  <c r="Q106" i="8"/>
  <c r="G162" i="8"/>
  <c r="M162" i="8"/>
  <c r="G76" i="8"/>
  <c r="M76" i="8"/>
  <c r="G74" i="8"/>
  <c r="M74" i="8"/>
  <c r="G105" i="8"/>
  <c r="M105" i="8"/>
  <c r="G158" i="8"/>
  <c r="M158" i="8"/>
  <c r="G160" i="8"/>
  <c r="M160" i="8"/>
  <c r="G150" i="8"/>
  <c r="M150" i="8"/>
  <c r="G82" i="8"/>
  <c r="M82" i="8"/>
  <c r="G95" i="8"/>
  <c r="M95" i="8"/>
  <c r="G147" i="8"/>
  <c r="M147" i="8"/>
  <c r="G91" i="8"/>
  <c r="M91" i="8"/>
  <c r="I91" i="8"/>
  <c r="O91" i="8"/>
  <c r="I95" i="8"/>
  <c r="O95" i="8"/>
  <c r="I96" i="8"/>
  <c r="O96" i="8"/>
  <c r="I78" i="8"/>
  <c r="O78" i="8"/>
  <c r="I119" i="8"/>
  <c r="O119" i="8"/>
  <c r="I83" i="8"/>
  <c r="O83" i="8"/>
  <c r="I93" i="8"/>
  <c r="O93" i="8"/>
  <c r="I160" i="8"/>
  <c r="O160" i="8"/>
  <c r="I24" i="8"/>
  <c r="O24" i="8"/>
  <c r="I150" i="8"/>
  <c r="O150" i="8"/>
  <c r="I87" i="8"/>
  <c r="O87" i="8"/>
  <c r="I108" i="8"/>
  <c r="O108" i="8"/>
  <c r="I156" i="8"/>
  <c r="O156" i="8"/>
  <c r="I123" i="8"/>
  <c r="O123" i="8"/>
  <c r="I149" i="8"/>
  <c r="O149" i="8"/>
  <c r="I74" i="8"/>
  <c r="O74" i="8"/>
  <c r="I75" i="8"/>
  <c r="O75" i="8"/>
  <c r="I162" i="8"/>
  <c r="O162" i="8"/>
  <c r="I151" i="8"/>
  <c r="O151" i="8"/>
  <c r="I90" i="8"/>
  <c r="O90" i="8"/>
  <c r="I88" i="8"/>
  <c r="O88" i="8"/>
  <c r="I161" i="8"/>
  <c r="O161" i="8"/>
  <c r="I158" i="8"/>
  <c r="O158" i="8"/>
  <c r="I73" i="8"/>
  <c r="O73" i="8"/>
  <c r="I99" i="8"/>
  <c r="O99" i="8"/>
  <c r="I89" i="8"/>
  <c r="O89" i="8"/>
  <c r="I94" i="8"/>
  <c r="O94" i="8"/>
  <c r="I25" i="8"/>
  <c r="O25" i="8"/>
  <c r="I19" i="8"/>
  <c r="O19" i="8"/>
  <c r="I148" i="8"/>
  <c r="O148" i="8"/>
  <c r="I104" i="8"/>
  <c r="O104" i="8"/>
  <c r="I159" i="8"/>
  <c r="O159" i="8"/>
  <c r="I77" i="8"/>
  <c r="O77" i="8"/>
  <c r="I76" i="8"/>
  <c r="O76" i="8"/>
  <c r="F82" i="8"/>
  <c r="L82" i="8"/>
  <c r="F116" i="8"/>
  <c r="L116" i="8"/>
  <c r="F89" i="8"/>
  <c r="L89" i="8"/>
  <c r="F159" i="8"/>
  <c r="L159" i="8"/>
  <c r="F92" i="8"/>
  <c r="L92" i="8"/>
  <c r="F161" i="8"/>
  <c r="L161" i="8"/>
  <c r="I84" i="8"/>
  <c r="O84" i="8"/>
  <c r="G84" i="8"/>
  <c r="M84" i="8"/>
  <c r="G111" i="8"/>
  <c r="M111" i="8"/>
  <c r="F158" i="8"/>
  <c r="L158" i="8"/>
  <c r="F74" i="8"/>
  <c r="L74" i="8"/>
  <c r="F19" i="8"/>
  <c r="L19" i="8"/>
  <c r="F110" i="8"/>
  <c r="L110" i="8"/>
  <c r="F149" i="8"/>
  <c r="L149" i="8"/>
  <c r="F150" i="8"/>
  <c r="L150" i="8"/>
  <c r="F94" i="8"/>
  <c r="L94" i="8"/>
  <c r="F162" i="8"/>
  <c r="L162" i="8"/>
  <c r="F75" i="8"/>
  <c r="L75" i="8"/>
  <c r="F81" i="8"/>
  <c r="L81" i="8"/>
  <c r="F80" i="8"/>
  <c r="L80" i="8"/>
  <c r="F93" i="8"/>
  <c r="L93" i="8"/>
  <c r="F111" i="8"/>
  <c r="L111" i="8"/>
  <c r="F108" i="8"/>
  <c r="L108" i="8"/>
  <c r="L92" i="7"/>
  <c r="L94" i="7"/>
  <c r="L129" i="7"/>
  <c r="Q103" i="8"/>
  <c r="L7" i="7"/>
  <c r="Q105" i="8"/>
  <c r="Q102" i="8"/>
  <c r="L139" i="7"/>
  <c r="L144" i="7"/>
  <c r="L8" i="7"/>
  <c r="L9" i="7"/>
  <c r="K52" i="7"/>
  <c r="K54" i="7"/>
  <c r="K157" i="7"/>
  <c r="M52" i="7"/>
  <c r="J106" i="7"/>
  <c r="K106" i="7"/>
  <c r="M165" i="8"/>
  <c r="M106" i="7"/>
  <c r="O165" i="8"/>
  <c r="L165" i="8"/>
  <c r="J52" i="7"/>
  <c r="J54" i="7"/>
  <c r="J157" i="7"/>
  <c r="J139" i="7"/>
  <c r="K129" i="7"/>
  <c r="N97" i="7"/>
  <c r="K139" i="7"/>
  <c r="J92" i="7"/>
  <c r="J94" i="7"/>
  <c r="K7" i="7"/>
  <c r="M129" i="7"/>
  <c r="J129" i="7"/>
  <c r="M92" i="7"/>
  <c r="M94" i="7"/>
  <c r="M139" i="7"/>
  <c r="K92" i="7"/>
  <c r="K94" i="7"/>
  <c r="J7" i="7"/>
  <c r="L146" i="7"/>
  <c r="J144" i="7"/>
  <c r="J146" i="7"/>
  <c r="K144" i="7"/>
  <c r="K159" i="7"/>
  <c r="M144" i="7"/>
  <c r="M8" i="7"/>
  <c r="J159" i="7"/>
  <c r="K8" i="7"/>
  <c r="K9" i="7"/>
  <c r="K56" i="8"/>
  <c r="J8" i="7"/>
  <c r="J9" i="7"/>
  <c r="K146" i="7"/>
  <c r="K71" i="8"/>
  <c r="Q56" i="8"/>
  <c r="N63" i="7"/>
  <c r="N65" i="7"/>
  <c r="N86" i="7"/>
  <c r="I65" i="7"/>
  <c r="I86" i="7"/>
  <c r="K3" i="8"/>
  <c r="E8" i="8"/>
  <c r="Q71" i="8"/>
  <c r="K8" i="8"/>
  <c r="I8" i="8"/>
  <c r="O8" i="8"/>
  <c r="M24" i="7"/>
  <c r="M31" i="7"/>
  <c r="M54" i="7"/>
  <c r="E84" i="8"/>
  <c r="K84" i="8"/>
  <c r="Q84" i="8"/>
  <c r="E111" i="8"/>
  <c r="K111" i="8"/>
  <c r="Q111" i="8"/>
  <c r="E25" i="8"/>
  <c r="K25" i="8"/>
  <c r="Q25" i="8"/>
  <c r="E95" i="8"/>
  <c r="K95" i="8"/>
  <c r="Q95" i="8"/>
  <c r="E87" i="8"/>
  <c r="K87" i="8"/>
  <c r="E90" i="8"/>
  <c r="K90" i="8"/>
  <c r="Q90" i="8"/>
  <c r="E91" i="8"/>
  <c r="K91" i="8"/>
  <c r="Q91" i="8"/>
  <c r="E159" i="8"/>
  <c r="K159" i="8"/>
  <c r="Q159" i="8"/>
  <c r="E19" i="8"/>
  <c r="K19" i="8"/>
  <c r="E83" i="8"/>
  <c r="K83" i="8"/>
  <c r="Q83" i="8"/>
  <c r="E162" i="8"/>
  <c r="K162" i="8"/>
  <c r="Q162" i="8"/>
  <c r="E82" i="8"/>
  <c r="K82" i="8"/>
  <c r="Q82" i="8"/>
  <c r="E94" i="8"/>
  <c r="K94" i="8"/>
  <c r="E74" i="8"/>
  <c r="K74" i="8"/>
  <c r="Q74" i="8"/>
  <c r="E80" i="8"/>
  <c r="K80" i="8"/>
  <c r="Q80" i="8"/>
  <c r="E160" i="8"/>
  <c r="K160" i="8"/>
  <c r="Q160" i="8"/>
  <c r="E78" i="8"/>
  <c r="K78" i="8"/>
  <c r="Q78" i="8"/>
  <c r="E150" i="8"/>
  <c r="K150" i="8"/>
  <c r="Q150" i="8"/>
  <c r="E157" i="8"/>
  <c r="K157" i="8"/>
  <c r="Q157" i="8"/>
  <c r="E93" i="8"/>
  <c r="K93" i="8"/>
  <c r="Q93" i="8"/>
  <c r="E148" i="8"/>
  <c r="K148" i="8"/>
  <c r="Q148" i="8"/>
  <c r="E158" i="8"/>
  <c r="K158" i="8"/>
  <c r="E76" i="8"/>
  <c r="K76" i="8"/>
  <c r="E88" i="8"/>
  <c r="K88" i="8"/>
  <c r="E99" i="8"/>
  <c r="K99" i="8"/>
  <c r="E108" i="8"/>
  <c r="K108" i="8"/>
  <c r="E123" i="8"/>
  <c r="K123" i="8"/>
  <c r="E77" i="8"/>
  <c r="K77" i="8"/>
  <c r="Q77" i="8"/>
  <c r="E149" i="8"/>
  <c r="K149" i="8"/>
  <c r="E152" i="8"/>
  <c r="K152" i="8"/>
  <c r="E96" i="8"/>
  <c r="K96" i="8"/>
  <c r="E116" i="8"/>
  <c r="K116" i="8"/>
  <c r="E81" i="8"/>
  <c r="K81" i="8"/>
  <c r="Q81" i="8"/>
  <c r="E161" i="8"/>
  <c r="K161" i="8"/>
  <c r="Q161" i="8"/>
  <c r="E151" i="8"/>
  <c r="K151" i="8"/>
  <c r="E104" i="8"/>
  <c r="K104" i="8"/>
  <c r="E110" i="8"/>
  <c r="K110" i="8"/>
  <c r="Q110" i="8"/>
  <c r="E147" i="8"/>
  <c r="K147" i="8"/>
  <c r="E153" i="8"/>
  <c r="K153" i="8"/>
  <c r="Q153" i="8"/>
  <c r="E156" i="8"/>
  <c r="K156" i="8"/>
  <c r="E89" i="8"/>
  <c r="K89" i="8"/>
  <c r="Q89" i="8"/>
  <c r="E119" i="8"/>
  <c r="K119" i="8"/>
  <c r="E75" i="8"/>
  <c r="K75" i="8"/>
  <c r="Q75" i="8"/>
  <c r="E79" i="8"/>
  <c r="K79" i="8"/>
  <c r="Q79" i="8"/>
  <c r="E73" i="8"/>
  <c r="K73" i="8"/>
  <c r="E92" i="8"/>
  <c r="K92" i="8"/>
  <c r="E164" i="8"/>
  <c r="K164" i="8"/>
  <c r="E24" i="8"/>
  <c r="K24" i="8"/>
  <c r="M7" i="7"/>
  <c r="M9" i="7"/>
  <c r="M146" i="7"/>
  <c r="K165" i="8"/>
  <c r="Q8" i="8"/>
  <c r="Q149" i="8"/>
  <c r="N138" i="7"/>
  <c r="N141" i="7"/>
  <c r="Q164" i="8"/>
  <c r="N115" i="7"/>
  <c r="Q156" i="8"/>
  <c r="Q116" i="8"/>
  <c r="Q94" i="8"/>
  <c r="N121" i="7"/>
  <c r="Q87" i="8"/>
  <c r="N135" i="7"/>
  <c r="Q92" i="8"/>
  <c r="N123" i="7"/>
  <c r="Q119" i="8"/>
  <c r="Q151" i="8"/>
  <c r="N133" i="7"/>
  <c r="Q96" i="8"/>
  <c r="N128" i="7"/>
  <c r="Q88" i="8"/>
  <c r="N136" i="7"/>
  <c r="Q24" i="8"/>
  <c r="Q108" i="8"/>
  <c r="N105" i="7"/>
  <c r="Q158" i="8"/>
  <c r="N116" i="7"/>
  <c r="Q104" i="8"/>
  <c r="Q99" i="8"/>
  <c r="N122" i="7"/>
  <c r="N46" i="7"/>
  <c r="Q19" i="8"/>
  <c r="Q73" i="8"/>
  <c r="N134" i="7"/>
  <c r="Q147" i="8"/>
  <c r="Q152" i="8"/>
  <c r="N137" i="7"/>
  <c r="N127" i="7"/>
  <c r="Q123" i="8"/>
  <c r="Q76" i="8"/>
  <c r="N90" i="7"/>
  <c r="I24" i="7"/>
  <c r="I31" i="7"/>
  <c r="N19" i="7"/>
  <c r="N24" i="7"/>
  <c r="N31" i="7"/>
  <c r="N98" i="7"/>
  <c r="N106" i="7"/>
  <c r="I106" i="7"/>
  <c r="I139" i="7"/>
  <c r="N132" i="7"/>
  <c r="N139" i="7"/>
  <c r="N109" i="7"/>
  <c r="N129" i="7"/>
  <c r="I129" i="7"/>
  <c r="N89" i="7"/>
  <c r="N92" i="7"/>
  <c r="N94" i="7"/>
  <c r="I92" i="7"/>
  <c r="I94" i="7"/>
  <c r="N45" i="7"/>
  <c r="N52" i="7"/>
  <c r="I52" i="7"/>
  <c r="I42" i="7"/>
  <c r="N39" i="7"/>
  <c r="N42" i="7"/>
  <c r="I144" i="7"/>
  <c r="I8" i="7"/>
  <c r="N144" i="7"/>
  <c r="N8" i="7"/>
  <c r="I54" i="7"/>
  <c r="N54" i="7"/>
  <c r="I159" i="7"/>
  <c r="N7" i="7"/>
  <c r="N9" i="7"/>
  <c r="N146" i="7"/>
  <c r="I157" i="7"/>
  <c r="I7" i="7"/>
  <c r="I9" i="7"/>
  <c r="I146" i="7"/>
</calcChain>
</file>

<file path=xl/comments1.xml><?xml version="1.0" encoding="utf-8"?>
<comments xmlns="http://schemas.openxmlformats.org/spreadsheetml/2006/main">
  <authors>
    <author>hrubyda</author>
  </authors>
  <commentList>
    <comment ref="G11" authorId="0" shapeId="0">
      <text>
        <r>
          <rPr>
            <b/>
            <sz val="9"/>
            <color indexed="81"/>
            <rFont val="Tahoma"/>
            <family val="2"/>
          </rPr>
          <t>CSI:</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8" authorId="0" shapeId="0">
      <text>
        <r>
          <rPr>
            <b/>
            <sz val="8"/>
            <color indexed="81"/>
            <rFont val="Tahoma"/>
            <family val="2"/>
          </rPr>
          <t xml:space="preserve">CSI:
</t>
        </r>
        <r>
          <rPr>
            <sz val="8"/>
            <color indexed="81"/>
            <rFont val="Tahoma"/>
            <family val="2"/>
          </rPr>
          <t xml:space="preserve">Enter in the Per Pupil Rate (PPR) for the Current Year (CY). 
For Example:
If this application is being submitted in 2009-10 for a school opening in 2011-12, enter in the 2009-10 PPR for that district in the cells below.  If a higher PPR is assumed indicate that % increase in the ASSUMPTION column. 
Refer to the State Aid website for the tuition rates. https://stateaid.nysed.gov/charter/
</t>
        </r>
      </text>
    </comment>
    <comment ref="E59" authorId="0" shapeId="0">
      <text>
        <r>
          <rPr>
            <b/>
            <sz val="8"/>
            <color indexed="81"/>
            <rFont val="Tahoma"/>
            <family val="2"/>
          </rPr>
          <t xml:space="preserve">CSI:
Sample titles that fall under this line:
 - </t>
        </r>
        <r>
          <rPr>
            <sz val="8"/>
            <color indexed="81"/>
            <rFont val="Tahoma"/>
            <family val="2"/>
          </rPr>
          <t>Head of School
 - Superintendant
 - School Leader
 - Executive Director
 - CEO</t>
        </r>
      </text>
    </comment>
    <comment ref="E60" authorId="0" shapeId="0">
      <text>
        <r>
          <rPr>
            <b/>
            <sz val="8"/>
            <color indexed="81"/>
            <rFont val="Tahoma"/>
            <family val="2"/>
          </rPr>
          <t xml:space="preserve">CSI:
Sample titles that fall under this line:
 - </t>
        </r>
        <r>
          <rPr>
            <sz val="8"/>
            <color indexed="81"/>
            <rFont val="Tahoma"/>
            <family val="2"/>
          </rPr>
          <t>Principal
 - Vice-Principal
 - Assistant Principal
 - Chief Academic Officer</t>
        </r>
      </text>
    </comment>
    <comment ref="E61" authorId="0" shapeId="0">
      <text>
        <r>
          <rPr>
            <b/>
            <sz val="8"/>
            <color indexed="81"/>
            <rFont val="Tahoma"/>
            <family val="2"/>
          </rPr>
          <t xml:space="preserve">CSI: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E64" authorId="0" shapeId="0">
      <text>
        <r>
          <rPr>
            <b/>
            <sz val="8"/>
            <color indexed="81"/>
            <rFont val="Tahoma"/>
            <family val="2"/>
          </rPr>
          <t>CSI:
Sample titles that fall under this line:</t>
        </r>
        <r>
          <rPr>
            <sz val="8"/>
            <color indexed="81"/>
            <rFont val="Tahoma"/>
            <family val="2"/>
          </rPr>
          <t xml:space="preserve">
 - Secretary
 - Receptionist
 - Attendance Clerk
 - Office Manager</t>
        </r>
      </text>
    </comment>
    <comment ref="E68" authorId="0" shapeId="0">
      <text>
        <r>
          <rPr>
            <b/>
            <sz val="8"/>
            <color indexed="81"/>
            <rFont val="Tahoma"/>
            <family val="2"/>
          </rPr>
          <t>CSI:
Sample titles that fall under this line:</t>
        </r>
        <r>
          <rPr>
            <sz val="8"/>
            <color indexed="81"/>
            <rFont val="Tahoma"/>
            <family val="2"/>
          </rPr>
          <t xml:space="preserve">
Content/Subject Area Teachers:
   - ELA
   - Math
   - Social Studies
   - Science</t>
        </r>
      </text>
    </comment>
    <comment ref="E72" authorId="0" shapeId="0">
      <text>
        <r>
          <rPr>
            <b/>
            <sz val="8"/>
            <color indexed="81"/>
            <rFont val="Tahoma"/>
            <family val="2"/>
          </rPr>
          <t>CSI:
Sample titles that fall under this line:</t>
        </r>
        <r>
          <rPr>
            <sz val="8"/>
            <color indexed="81"/>
            <rFont val="Tahoma"/>
            <family val="2"/>
          </rPr>
          <t xml:space="preserve">
 - ESL
 - Reading
 - Math and/or Literacy Specialists
 - Art
 - PE
 - Music
 - Foreign Languages
 - Photography
 - Ceramics</t>
        </r>
      </text>
    </comment>
    <comment ref="E74" authorId="0" shapeId="0">
      <text>
        <r>
          <rPr>
            <b/>
            <sz val="8"/>
            <color indexed="81"/>
            <rFont val="Tahoma"/>
            <family val="2"/>
          </rPr>
          <t>CSI:
Sample titles that fall under this line:</t>
        </r>
        <r>
          <rPr>
            <sz val="8"/>
            <color indexed="81"/>
            <rFont val="Tahoma"/>
            <family val="2"/>
          </rPr>
          <t xml:space="preserve">
 - Speech Therapists
 - Social Workers</t>
        </r>
      </text>
    </comment>
    <comment ref="E83" authorId="0" shapeId="0">
      <text>
        <r>
          <rPr>
            <b/>
            <sz val="8"/>
            <color indexed="81"/>
            <rFont val="Tahoma"/>
            <family val="2"/>
          </rPr>
          <t>CSI:</t>
        </r>
        <r>
          <rPr>
            <sz val="8"/>
            <color indexed="81"/>
            <rFont val="Tahoma"/>
            <family val="2"/>
          </rPr>
          <t xml:space="preserve">
Cafeteria
Other</t>
        </r>
      </text>
    </comment>
    <comment ref="E90" authorId="0" shapeId="0">
      <text>
        <r>
          <rPr>
            <b/>
            <sz val="8"/>
            <color indexed="81"/>
            <rFont val="Tahoma"/>
            <family val="2"/>
          </rPr>
          <t>CSI:</t>
        </r>
        <r>
          <rPr>
            <sz val="8"/>
            <color indexed="81"/>
            <rFont val="Tahoma"/>
            <family val="2"/>
          </rPr>
          <t xml:space="preserve">
Health and Dental
Social Security
Medicare
Unemployment
Other
</t>
        </r>
      </text>
    </comment>
    <comment ref="E105" authorId="0" shapeId="0">
      <text>
        <r>
          <rPr>
            <b/>
            <sz val="8"/>
            <color indexed="81"/>
            <rFont val="Tahoma"/>
            <family val="2"/>
          </rPr>
          <t xml:space="preserve">CSI: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E109" authorId="0" shapeId="0">
      <text>
        <r>
          <rPr>
            <b/>
            <sz val="8"/>
            <color indexed="81"/>
            <rFont val="Tahoma"/>
            <family val="2"/>
          </rPr>
          <t>CSI:</t>
        </r>
        <r>
          <rPr>
            <sz val="8"/>
            <color indexed="81"/>
            <rFont val="Tahoma"/>
            <family val="2"/>
          </rPr>
          <t xml:space="preserve">
Development
Conferences</t>
        </r>
      </text>
    </comment>
    <comment ref="E113" authorId="0" shapeId="0">
      <text>
        <r>
          <rPr>
            <b/>
            <sz val="8"/>
            <color indexed="81"/>
            <rFont val="Tahoma"/>
            <family val="2"/>
          </rPr>
          <t>CSI:</t>
        </r>
        <r>
          <rPr>
            <sz val="8"/>
            <color indexed="81"/>
            <rFont val="Tahoma"/>
            <family val="2"/>
          </rPr>
          <t xml:space="preserve">
Curriculum
</t>
        </r>
      </text>
    </comment>
    <comment ref="E114" authorId="0" shapeId="0">
      <text>
        <r>
          <rPr>
            <b/>
            <sz val="8"/>
            <color indexed="81"/>
            <rFont val="Tahoma"/>
            <family val="2"/>
          </rPr>
          <t>CSI:</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E116" authorId="0" shapeId="0">
      <text>
        <r>
          <rPr>
            <b/>
            <sz val="8"/>
            <color indexed="81"/>
            <rFont val="Tahoma"/>
            <family val="2"/>
          </rPr>
          <t>CSI:</t>
        </r>
        <r>
          <rPr>
            <sz val="8"/>
            <color indexed="81"/>
            <rFont val="Tahoma"/>
            <family val="2"/>
          </rPr>
          <t xml:space="preserve">
Hardware
Software
Internet
Wiring
Other</t>
        </r>
      </text>
    </comment>
    <comment ref="E120" authorId="0" shapeId="0">
      <text>
        <r>
          <rPr>
            <b/>
            <sz val="8"/>
            <color indexed="81"/>
            <rFont val="Tahoma"/>
            <family val="2"/>
          </rPr>
          <t>CSI:</t>
        </r>
        <r>
          <rPr>
            <sz val="8"/>
            <color indexed="81"/>
            <rFont val="Tahoma"/>
            <family val="2"/>
          </rPr>
          <t xml:space="preserve">
Uniforms
Special Events</t>
        </r>
      </text>
    </comment>
    <comment ref="E121" authorId="0" shapeId="0">
      <text>
        <r>
          <rPr>
            <b/>
            <sz val="8"/>
            <color indexed="81"/>
            <rFont val="Tahoma"/>
            <family val="2"/>
          </rPr>
          <t>CSI:</t>
        </r>
        <r>
          <rPr>
            <sz val="8"/>
            <color indexed="81"/>
            <rFont val="Tahoma"/>
            <family val="2"/>
          </rPr>
          <t xml:space="preserve">
Printing
Postage
Copying
All Other</t>
        </r>
      </text>
    </comment>
    <comment ref="E122" authorId="0" shapeId="0">
      <text>
        <r>
          <rPr>
            <b/>
            <sz val="8"/>
            <color indexed="81"/>
            <rFont val="Tahoma"/>
            <family val="2"/>
          </rPr>
          <t>CSI:</t>
        </r>
        <r>
          <rPr>
            <sz val="8"/>
            <color indexed="81"/>
            <rFont val="Tahoma"/>
            <family val="2"/>
          </rPr>
          <t xml:space="preserve">
Conferences</t>
        </r>
      </text>
    </comment>
    <comment ref="E128" authorId="0" shapeId="0">
      <text>
        <r>
          <rPr>
            <b/>
            <sz val="8"/>
            <color indexed="81"/>
            <rFont val="Tahoma"/>
            <family val="2"/>
          </rPr>
          <t>CSI:</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E135" authorId="0" shapeId="0">
      <text>
        <r>
          <rPr>
            <b/>
            <sz val="8"/>
            <color indexed="81"/>
            <rFont val="Tahoma"/>
            <family val="2"/>
          </rPr>
          <t>CSI:</t>
        </r>
        <r>
          <rPr>
            <sz val="8"/>
            <color indexed="81"/>
            <rFont val="Tahoma"/>
            <family val="2"/>
          </rPr>
          <t xml:space="preserve">
Facility
Equipment</t>
        </r>
      </text>
    </comment>
    <comment ref="E136"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E138" authorId="0" shapeId="0">
      <text>
        <r>
          <rPr>
            <b/>
            <sz val="8"/>
            <color indexed="81"/>
            <rFont val="Tahoma"/>
            <family val="2"/>
          </rPr>
          <t>CSI:</t>
        </r>
        <r>
          <rPr>
            <sz val="8"/>
            <color indexed="81"/>
            <rFont val="Tahoma"/>
            <family val="2"/>
          </rPr>
          <t xml:space="preserve">
Electric
Gas
Other</t>
        </r>
      </text>
    </comment>
    <comment ref="E142" authorId="0" shapeId="0">
      <text>
        <r>
          <rPr>
            <b/>
            <sz val="8"/>
            <color indexed="81"/>
            <rFont val="Tahoma"/>
            <family val="2"/>
          </rPr>
          <t>CSI:</t>
        </r>
        <r>
          <rPr>
            <sz val="8"/>
            <color indexed="81"/>
            <rFont val="Tahoma"/>
            <family val="2"/>
          </rPr>
          <t xml:space="preserve">
</t>
        </r>
        <r>
          <rPr>
            <sz val="8"/>
            <color indexed="81"/>
            <rFont val="Tahoma"/>
            <family val="2"/>
          </rPr>
          <t>$75,000 should be set aside for Dissolution and it can be spread out over the first THREE years if the school chooses.  If spread out each year should minimally be $25k.  
A note can be added under assumptions describing the breakout.</t>
        </r>
      </text>
    </comment>
  </commentList>
</comments>
</file>

<file path=xl/comments2.xml><?xml version="1.0" encoding="utf-8"?>
<comments xmlns="http://schemas.openxmlformats.org/spreadsheetml/2006/main">
  <authors>
    <author>hrubyda</author>
  </authors>
  <commentList>
    <comment ref="C34" authorId="0" shapeId="0">
      <text>
        <r>
          <rPr>
            <b/>
            <sz val="8"/>
            <color indexed="81"/>
            <rFont val="Tahoma"/>
            <family val="2"/>
          </rPr>
          <t xml:space="preserve">CSI:
Sample titles that fall under this line:
 - </t>
        </r>
        <r>
          <rPr>
            <sz val="8"/>
            <color indexed="81"/>
            <rFont val="Tahoma"/>
            <family val="2"/>
          </rPr>
          <t>Principal
 - Vice-Principal
 - Assistant Principal
 - Chief Academic Officer</t>
        </r>
      </text>
    </comment>
    <comment ref="C88"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C89" authorId="0" shapeId="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C143" authorId="0" shapeId="0">
      <text>
        <r>
          <rPr>
            <b/>
            <sz val="8"/>
            <color indexed="81"/>
            <rFont val="Tahoma"/>
            <family val="2"/>
          </rPr>
          <t>CSI:</t>
        </r>
        <r>
          <rPr>
            <sz val="8"/>
            <color indexed="81"/>
            <rFont val="Tahoma"/>
            <family val="2"/>
          </rPr>
          <t xml:space="preserve">
Uniforms
Special Events</t>
        </r>
      </text>
    </comment>
    <comment ref="C144" authorId="0" shapeId="0">
      <text>
        <r>
          <rPr>
            <b/>
            <sz val="8"/>
            <color indexed="81"/>
            <rFont val="Tahoma"/>
            <family val="2"/>
          </rPr>
          <t>CSI:</t>
        </r>
        <r>
          <rPr>
            <sz val="8"/>
            <color indexed="81"/>
            <rFont val="Tahoma"/>
            <family val="2"/>
          </rPr>
          <t xml:space="preserve">
Uniforms
Special Events</t>
        </r>
      </text>
    </comment>
    <comment ref="C149" authorId="0" shapeId="0">
      <text>
        <r>
          <rPr>
            <b/>
            <sz val="8"/>
            <color indexed="81"/>
            <rFont val="Tahoma"/>
            <family val="2"/>
          </rPr>
          <t>CSI:</t>
        </r>
        <r>
          <rPr>
            <sz val="8"/>
            <color indexed="81"/>
            <rFont val="Tahoma"/>
            <family val="2"/>
          </rPr>
          <t xml:space="preserve">
Electric
Gas
Other</t>
        </r>
      </text>
    </comment>
    <comment ref="C150" authorId="0" shapeId="0">
      <text>
        <r>
          <rPr>
            <b/>
            <sz val="8"/>
            <color indexed="81"/>
            <rFont val="Tahoma"/>
            <family val="2"/>
          </rPr>
          <t>CSI:</t>
        </r>
        <r>
          <rPr>
            <sz val="8"/>
            <color indexed="81"/>
            <rFont val="Tahoma"/>
            <family val="2"/>
          </rPr>
          <t xml:space="preserve">
Electric
Gas
Other</t>
        </r>
      </text>
    </comment>
    <comment ref="C153" authorId="0" shapeId="0">
      <text>
        <r>
          <rPr>
            <b/>
            <sz val="8"/>
            <color indexed="81"/>
            <rFont val="Tahoma"/>
            <family val="2"/>
          </rPr>
          <t>CSI:</t>
        </r>
        <r>
          <rPr>
            <sz val="8"/>
            <color indexed="81"/>
            <rFont val="Tahoma"/>
            <family val="2"/>
          </rPr>
          <t xml:space="preserve">
Facility
Equipment</t>
        </r>
      </text>
    </comment>
    <comment ref="C158" authorId="0" shapeId="0">
      <text>
        <r>
          <rPr>
            <b/>
            <sz val="8"/>
            <color indexed="81"/>
            <rFont val="Tahoma"/>
            <family val="2"/>
          </rPr>
          <t>CSI:</t>
        </r>
        <r>
          <rPr>
            <sz val="8"/>
            <color indexed="81"/>
            <rFont val="Tahoma"/>
            <family val="2"/>
          </rPr>
          <t xml:space="preserve">
Hardware
Software
Internet
Wiring
Other</t>
        </r>
      </text>
    </comment>
    <comment ref="C159" authorId="0" shapeId="0">
      <text>
        <r>
          <rPr>
            <b/>
            <sz val="8"/>
            <color indexed="81"/>
            <rFont val="Tahoma"/>
            <family val="2"/>
          </rPr>
          <t>CSI:</t>
        </r>
        <r>
          <rPr>
            <sz val="8"/>
            <color indexed="81"/>
            <rFont val="Tahoma"/>
            <family val="2"/>
          </rPr>
          <t xml:space="preserve">
Hardware
Software
Internet
Wiring
Other</t>
        </r>
      </text>
    </comment>
    <comment ref="C160" authorId="0" shapeId="0">
      <text>
        <r>
          <rPr>
            <b/>
            <sz val="8"/>
            <color indexed="81"/>
            <rFont val="Tahoma"/>
            <family val="2"/>
          </rPr>
          <t>CSI:</t>
        </r>
        <r>
          <rPr>
            <sz val="8"/>
            <color indexed="81"/>
            <rFont val="Tahoma"/>
            <family val="2"/>
          </rPr>
          <t xml:space="preserve">
Hardware
Software
Internet
Wiring
Other</t>
        </r>
      </text>
    </comment>
    <comment ref="C161" authorId="0" shapeId="0">
      <text>
        <r>
          <rPr>
            <b/>
            <sz val="8"/>
            <color indexed="81"/>
            <rFont val="Tahoma"/>
            <family val="2"/>
          </rPr>
          <t>CSI:</t>
        </r>
        <r>
          <rPr>
            <sz val="8"/>
            <color indexed="81"/>
            <rFont val="Tahoma"/>
            <family val="2"/>
          </rPr>
          <t xml:space="preserve">
Hardware
Software
Internet
Wiring
Other</t>
        </r>
      </text>
    </comment>
    <comment ref="C162" authorId="0" shapeId="0">
      <text>
        <r>
          <rPr>
            <b/>
            <sz val="8"/>
            <color indexed="81"/>
            <rFont val="Tahoma"/>
            <family val="2"/>
          </rPr>
          <t>CSI:</t>
        </r>
        <r>
          <rPr>
            <sz val="8"/>
            <color indexed="81"/>
            <rFont val="Tahoma"/>
            <family val="2"/>
          </rPr>
          <t xml:space="preserve">
Hardware
Software
Internet
Wiring
Other</t>
        </r>
      </text>
    </comment>
  </commentList>
</comments>
</file>

<file path=xl/sharedStrings.xml><?xml version="1.0" encoding="utf-8"?>
<sst xmlns="http://schemas.openxmlformats.org/spreadsheetml/2006/main" count="786" uniqueCount="339">
  <si>
    <t>Total Revenue</t>
  </si>
  <si>
    <t>Total Expenses</t>
  </si>
  <si>
    <t>Net Income</t>
  </si>
  <si>
    <t>Actual Student Enrollment</t>
  </si>
  <si>
    <t>Total Paid Student Enrollment</t>
  </si>
  <si>
    <t>REVENUE</t>
  </si>
  <si>
    <t>REVENUES FROM STATE SOURCES</t>
  </si>
  <si>
    <t>Per Pupil Revenue</t>
  </si>
  <si>
    <t>School District 2 (Enter Name)</t>
  </si>
  <si>
    <t>School District 3 (Enter Name)</t>
  </si>
  <si>
    <t>School District 4 (Enter Name)</t>
  </si>
  <si>
    <t>School District 5 (Enter Name)</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</si>
  <si>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</si>
  <si>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</si>
  <si>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</si>
  <si>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</si>
  <si>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</si>
  <si>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</si>
  <si>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</si>
  <si>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</si>
  <si>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</si>
  <si>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</si>
  <si>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</si>
  <si>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TOTAL REVENUE FROM FEDERAL SOURCES</t>
  </si>
  <si>
    <t>LOCAL and OTHER REVENUE</t>
  </si>
  <si>
    <t>Fundraising</t>
  </si>
  <si>
    <t>Erate Reimbursement</t>
  </si>
  <si>
    <t>Food Service (Income from meals)</t>
  </si>
  <si>
    <t>Text Book</t>
  </si>
  <si>
    <t>OTHER</t>
  </si>
  <si>
    <t>TOTAL REVENUE FROM LOCAL and OTHER SOURCES</t>
  </si>
  <si>
    <t xml:space="preserve">TOTAL REVENUE </t>
  </si>
  <si>
    <t>EXPENSES</t>
  </si>
  <si>
    <t>ADMINISTRATIVE STAFF PERSONNEL COSTS</t>
  </si>
  <si>
    <t>No. of Positions</t>
  </si>
  <si>
    <t>Executive Management</t>
  </si>
  <si>
    <t>Instructional Management</t>
  </si>
  <si>
    <t>Deans, Directors &amp; Coordinators</t>
  </si>
  <si>
    <t>CFO / Director of Finance</t>
  </si>
  <si>
    <t>Operation / Business Manager</t>
  </si>
  <si>
    <t>Administrative Staff</t>
  </si>
  <si>
    <t>TOTAL ADMINISTRATIVE STAFF</t>
  </si>
  <si>
    <t>INSTRUCTIONAL PERSONNEL COSTS</t>
  </si>
  <si>
    <t>Teachers - Regular</t>
  </si>
  <si>
    <t>Teachers - SPED</t>
  </si>
  <si>
    <t>Substitute Teachers</t>
  </si>
  <si>
    <t>Teaching Assistants</t>
  </si>
  <si>
    <t>Specialty Teachers</t>
  </si>
  <si>
    <t>Aides</t>
  </si>
  <si>
    <t>Therapists &amp; Counselors</t>
  </si>
  <si>
    <t>TOTAL INSTRUCTIONAL</t>
  </si>
  <si>
    <t>NON-INSTRUCTIONAL PERSONNEL COSTS</t>
  </si>
  <si>
    <t>Nurse</t>
  </si>
  <si>
    <t>Librarian</t>
  </si>
  <si>
    <t>Custodian</t>
  </si>
  <si>
    <t>Security</t>
  </si>
  <si>
    <t>TOTAL NON-INSTRUCTIONAL</t>
  </si>
  <si>
    <t>SUBTOTAL PERSONNEL SERVICE COSTS</t>
  </si>
  <si>
    <t>PAYROLL TAXES AND BENEFITS</t>
  </si>
  <si>
    <t>Payroll Taxes</t>
  </si>
  <si>
    <t>Fringe / Employee Benefits</t>
  </si>
  <si>
    <t>Retirement / Pension</t>
  </si>
  <si>
    <t>TOTAL PAYROLL TAXES AND BENEFITS</t>
  </si>
  <si>
    <t>TOTAL PERSONNEL SERVICE COSTS</t>
  </si>
  <si>
    <t>CONTRACTED SERVICES</t>
  </si>
  <si>
    <t xml:space="preserve">Accounting / Audit </t>
  </si>
  <si>
    <t>Legal</t>
  </si>
  <si>
    <t>Management Company Fee</t>
  </si>
  <si>
    <t>Nurse Services</t>
  </si>
  <si>
    <t>Food Service / School Lunch</t>
  </si>
  <si>
    <t>Payroll Services</t>
  </si>
  <si>
    <t>Special Ed Services</t>
  </si>
  <si>
    <t>Titlement Services (i.e. Title I)</t>
  </si>
  <si>
    <t>Other Purchased / Professional / Consulting</t>
  </si>
  <si>
    <t>TOTAL CONTRACTED SERVICES</t>
  </si>
  <si>
    <t>SCHOOL OPERATIONS</t>
  </si>
  <si>
    <t>Board Expenses</t>
  </si>
  <si>
    <t>Classroom / Teaching Supplies &amp; Materials</t>
  </si>
  <si>
    <t>Special Ed Supplies &amp; Materials</t>
  </si>
  <si>
    <t>Textbooks / Workbooks</t>
  </si>
  <si>
    <t>Supplies &amp; Materials other</t>
  </si>
  <si>
    <t xml:space="preserve">Telephone </t>
  </si>
  <si>
    <t>Technology</t>
  </si>
  <si>
    <t>Student Testing &amp; Assessment</t>
  </si>
  <si>
    <t>Field Trips</t>
  </si>
  <si>
    <t>Transportation (student)</t>
  </si>
  <si>
    <t>Student Services - other</t>
  </si>
  <si>
    <t>Office Expense</t>
  </si>
  <si>
    <t>Staff Development</t>
  </si>
  <si>
    <t>Staff Recruitment</t>
  </si>
  <si>
    <t>Student Recruitment / Marketing</t>
  </si>
  <si>
    <t>School Meals / Lunch</t>
  </si>
  <si>
    <t>Travel (Staff)</t>
  </si>
  <si>
    <t>TOTAL SCHOOL OPERATIONS</t>
  </si>
  <si>
    <t>FACILITY OPERATION &amp; MAINTENANCE</t>
  </si>
  <si>
    <t>Insurance</t>
  </si>
  <si>
    <t>Janitorial</t>
  </si>
  <si>
    <t>Building and Land Rent / Lease</t>
  </si>
  <si>
    <t xml:space="preserve">Repairs &amp; Maintenance </t>
  </si>
  <si>
    <t>Utilities</t>
  </si>
  <si>
    <t>TOTAL FACILITY OPERATION &amp; MAINTENANCE</t>
  </si>
  <si>
    <t>DEPRECIATION &amp; AMORTIZATION</t>
  </si>
  <si>
    <t>DISSOLUTION ESCROW &amp; RESERVES / CONTIGENCY</t>
  </si>
  <si>
    <t>TOTAL EXPENSES</t>
  </si>
  <si>
    <t>NET INCOME</t>
  </si>
  <si>
    <t>ENROLLMENT - *School Districts Are Linked To Above Entries*</t>
  </si>
  <si>
    <t>TOTAL ENROLLMENT</t>
  </si>
  <si>
    <t>REVENUE PER PUPIL</t>
  </si>
  <si>
    <t>EXPENSES PER PUPIL</t>
  </si>
  <si>
    <t>TOTAL</t>
  </si>
  <si>
    <t>PROGRAM SERVICES</t>
  </si>
  <si>
    <t>SUPPORT SERVICES</t>
  </si>
  <si>
    <t>REGULAR EDUCATION</t>
  </si>
  <si>
    <t>SPECIAL EDUCATION</t>
  </si>
  <si>
    <t>FUNDRAISING</t>
  </si>
  <si>
    <t>MANAGEMENT &amp; GENERAL</t>
  </si>
  <si>
    <t xml:space="preserve">District of Location </t>
  </si>
  <si>
    <t>NYC-DYCD (Department of Youth and Community Developmt.)</t>
  </si>
  <si>
    <t>Contributions and Donations, Fundraising</t>
  </si>
  <si>
    <t xml:space="preserve">Interest Income, Earnings on Investments, </t>
  </si>
  <si>
    <t>General Instructions and Notes for New Application Budgets and Cash Flows Templates</t>
  </si>
  <si>
    <t xml:space="preserve"> Assumptions</t>
  </si>
  <si>
    <t>DESCRIPTION OF ASSUMPTIONS - Please note assumptions when applicable</t>
  </si>
  <si>
    <t>List exact titles and staff FTE"s ( Full time eqiuilivalent)</t>
  </si>
  <si>
    <t>TOTAL ENROLLED</t>
  </si>
  <si>
    <r>
      <t>CY</t>
    </r>
    <r>
      <rPr>
        <sz val="8"/>
        <rFont val="Arial"/>
        <family val="2"/>
      </rPr>
      <t xml:space="preserve"> Per Pupil Rate</t>
    </r>
  </si>
  <si>
    <t>The Assumptions column should be completed for all revenue and expense items unless the item is self-explanatory. Where applicable, please reference the page number or section in the application narrative that indicates the assumption being made. For instance, student enrollment would reference the applicable page number in Section I, C of the application narrative.</t>
  </si>
  <si>
    <t xml:space="preserve"> Request for Proposals to Establish Charter Schools Authorized by the Board of Regents</t>
  </si>
  <si>
    <r>
      <t>New York State Education Department</t>
    </r>
    <r>
      <rPr>
        <b/>
        <u/>
        <sz val="24"/>
        <color indexed="8"/>
        <rFont val="Arial"/>
        <family val="2"/>
      </rPr>
      <t xml:space="preserve"> </t>
    </r>
  </si>
  <si>
    <r>
      <t xml:space="preserve">Enter information into the </t>
    </r>
    <r>
      <rPr>
        <b/>
        <sz val="11"/>
        <color indexed="23"/>
        <rFont val="Arial"/>
        <family val="2"/>
      </rPr>
      <t>GRAY</t>
    </r>
    <r>
      <rPr>
        <b/>
        <sz val="11"/>
        <rFont val="Arial"/>
        <family val="2"/>
      </rPr>
      <t xml:space="preserve"> </t>
    </r>
    <r>
      <rPr>
        <sz val="11"/>
        <rFont val="Arial"/>
        <family val="2"/>
      </rPr>
      <t>cells</t>
    </r>
  </si>
  <si>
    <r>
      <t>Cells containing</t>
    </r>
    <r>
      <rPr>
        <sz val="11"/>
        <color indexed="10"/>
        <rFont val="Arial"/>
        <family val="2"/>
      </rPr>
      <t xml:space="preserve"> </t>
    </r>
    <r>
      <rPr>
        <b/>
        <sz val="11"/>
        <color indexed="10"/>
        <rFont val="Arial"/>
        <family val="2"/>
      </rPr>
      <t>RED</t>
    </r>
    <r>
      <rPr>
        <sz val="11"/>
        <rFont val="Arial"/>
        <family val="2"/>
      </rPr>
      <t xml:space="preserve"> triangles in the upper right corner in columns B through G contain guidance on that particular item</t>
    </r>
  </si>
  <si>
    <t>Other State Revenue</t>
  </si>
  <si>
    <t>Other Federal Revenue</t>
  </si>
  <si>
    <t>Other Local Revenue</t>
  </si>
  <si>
    <r>
      <t xml:space="preserve">Complete ALL SIX columns in </t>
    </r>
    <r>
      <rPr>
        <sz val="11"/>
        <color indexed="12"/>
        <rFont val="Arial"/>
        <family val="2"/>
      </rPr>
      <t>BLUE</t>
    </r>
  </si>
  <si>
    <t>Please Note: The student enrollment data is entered below in the Enrollment Section beginning in row 155. This will populate the data in row 10.</t>
  </si>
  <si>
    <t>July 1, 2017 to June 30, 2018</t>
  </si>
  <si>
    <t>School district per-pupil tuition information is located on the State Aid website at https://stateaid.nysed.gov/charter/.  Rows may be inserted in the worksheet to accomodate additional districts if necessary.</t>
  </si>
  <si>
    <t>Growing Up Green Charter School II</t>
  </si>
  <si>
    <t xml:space="preserve">Budget Overview: FY2017-18 - FY18 P&amp;L </t>
  </si>
  <si>
    <t>July 2017 - June 2018</t>
  </si>
  <si>
    <t>Total</t>
  </si>
  <si>
    <t>Revenue</t>
  </si>
  <si>
    <t xml:space="preserve">   4100 State Grants</t>
  </si>
  <si>
    <t xml:space="preserve">      4101 Per Pupil Allocations</t>
  </si>
  <si>
    <t xml:space="preserve">      4102 Per Pupil Allocations for SPED</t>
  </si>
  <si>
    <t xml:space="preserve">      4103 Facilities Funding</t>
  </si>
  <si>
    <t xml:space="preserve">      4104 NYSTL</t>
  </si>
  <si>
    <t xml:space="preserve">      4105 NYSSL</t>
  </si>
  <si>
    <t xml:space="preserve">      4106 NYSLIB</t>
  </si>
  <si>
    <t xml:space="preserve">      4108 NYS Senate Grant</t>
  </si>
  <si>
    <t xml:space="preserve">      4109 Per Pupil Allocations (UPK)</t>
  </si>
  <si>
    <t xml:space="preserve">   Total 4100 State Grants</t>
  </si>
  <si>
    <t xml:space="preserve">   4200 Federal Grants</t>
  </si>
  <si>
    <t xml:space="preserve">      4201 IDEA for Special Education</t>
  </si>
  <si>
    <t xml:space="preserve">      4203 E-Rate for Tech/Comm</t>
  </si>
  <si>
    <t xml:space="preserve">      4204 Title I</t>
  </si>
  <si>
    <t xml:space="preserve">      4206 Title IIA</t>
  </si>
  <si>
    <t xml:space="preserve">   Total 4200 Federal Grants</t>
  </si>
  <si>
    <t xml:space="preserve">   4300 Contributions</t>
  </si>
  <si>
    <t xml:space="preserve">      4304 Unrestricted Contributions</t>
  </si>
  <si>
    <t xml:space="preserve">      4307 Fundraising Events</t>
  </si>
  <si>
    <t xml:space="preserve">      4309 -After School Clubs</t>
  </si>
  <si>
    <t xml:space="preserve">   Total 4300 Contributions</t>
  </si>
  <si>
    <t>Gross Profit</t>
  </si>
  <si>
    <t>Expenditures</t>
  </si>
  <si>
    <t xml:space="preserve">   5100 Compensation Instructional Staff</t>
  </si>
  <si>
    <t xml:space="preserve">      5101 Executive Director</t>
  </si>
  <si>
    <t xml:space="preserve">      5102 School Leader</t>
  </si>
  <si>
    <t xml:space="preserve">      5104 Assistant School Leader</t>
  </si>
  <si>
    <t xml:space="preserve">      5105 Classroom Teachers</t>
  </si>
  <si>
    <t xml:space="preserve">      5106 ELL Teacher</t>
  </si>
  <si>
    <t xml:space="preserve">      5108 Art Teacher</t>
  </si>
  <si>
    <t xml:space="preserve">      5111 Learning Specialist</t>
  </si>
  <si>
    <t xml:space="preserve">      5112 Director of Counseling</t>
  </si>
  <si>
    <t xml:space="preserve">      5113 Science Teacher</t>
  </si>
  <si>
    <t xml:space="preserve">      5114 Physical Education Teacher</t>
  </si>
  <si>
    <t xml:space="preserve">      5121 Intervention Teachers</t>
  </si>
  <si>
    <t xml:space="preserve">      5136 Director of Support Services</t>
  </si>
  <si>
    <t xml:space="preserve">      5137 Dean of Students</t>
  </si>
  <si>
    <t xml:space="preserve">      5140 School Counselor</t>
  </si>
  <si>
    <t xml:space="preserve">      5142 Classroom Teachers (ICT)</t>
  </si>
  <si>
    <t xml:space="preserve">      5143 Classroom Teachers (UPK)</t>
  </si>
  <si>
    <t xml:space="preserve">      5144 Associate Teachers (UPK)</t>
  </si>
  <si>
    <t xml:space="preserve">   Total 5100 Compensation Instructional Staff</t>
  </si>
  <si>
    <t xml:space="preserve">   5200 Compensation Non-Instructional Staff</t>
  </si>
  <si>
    <t xml:space="preserve">      5203 Operations Manager</t>
  </si>
  <si>
    <t xml:space="preserve">      5204 Office Manager</t>
  </si>
  <si>
    <t xml:space="preserve">      5207 Security &amp; Facilities Manager</t>
  </si>
  <si>
    <t xml:space="preserve">      5208 Buildings &amp; Grounds Custodian</t>
  </si>
  <si>
    <t xml:space="preserve">      5211 Office Assistant</t>
  </si>
  <si>
    <t xml:space="preserve">      5216 Administrative Personnel Manager</t>
  </si>
  <si>
    <t xml:space="preserve">      5217 IT Coordinator</t>
  </si>
  <si>
    <t xml:space="preserve">      5218 Executive Assistant</t>
  </si>
  <si>
    <t xml:space="preserve">   Total 5200 Compensation Non-Instructional Staff</t>
  </si>
  <si>
    <t xml:space="preserve">   5300 Compensation Incentives</t>
  </si>
  <si>
    <t xml:space="preserve">      5306 After School Stipends</t>
  </si>
  <si>
    <t xml:space="preserve">   Total 5300 Compensation Incentives</t>
  </si>
  <si>
    <t xml:space="preserve">   5400 Benefits</t>
  </si>
  <si>
    <t xml:space="preserve">      5402 NY State Unemployment Insurance</t>
  </si>
  <si>
    <t xml:space="preserve">      5403 Social Security- EmployER Expense</t>
  </si>
  <si>
    <t xml:space="preserve">      5405 Medicare - EmployER Expenses</t>
  </si>
  <si>
    <t xml:space="preserve">      5407 TransitChek Fees</t>
  </si>
  <si>
    <t xml:space="preserve">      5408 Worker's Compensation Expense</t>
  </si>
  <si>
    <t xml:space="preserve">      5409 NY Disability</t>
  </si>
  <si>
    <t xml:space="preserve">      5410 Medical Insurance</t>
  </si>
  <si>
    <t xml:space="preserve">      5411 Dental Insurance</t>
  </si>
  <si>
    <t xml:space="preserve">      5414 Difference Card Healthcare Supplement</t>
  </si>
  <si>
    <t xml:space="preserve">      5416 STD, LTD, Life Ins. and NYS Disability Insurance</t>
  </si>
  <si>
    <t xml:space="preserve">      5417 Retirement 401(K)</t>
  </si>
  <si>
    <t xml:space="preserve">   Total 5400 Benefits</t>
  </si>
  <si>
    <t xml:space="preserve">   6100 Administrative Expenses</t>
  </si>
  <si>
    <t xml:space="preserve">      6101 Office Supplies- General</t>
  </si>
  <si>
    <t xml:space="preserve">      6102 Office Furniture (Non-Asset)</t>
  </si>
  <si>
    <t xml:space="preserve">      6103 Office Equipment (Non-Asset)</t>
  </si>
  <si>
    <t xml:space="preserve">      6104 Copier &amp; Printer</t>
  </si>
  <si>
    <t xml:space="preserve">      6105 Copy Machine Lease</t>
  </si>
  <si>
    <t xml:space="preserve">      6106 Janitorial Supplies</t>
  </si>
  <si>
    <t xml:space="preserve">      6107 Postage and Delivery</t>
  </si>
  <si>
    <t xml:space="preserve">      6108 Insurance - General</t>
  </si>
  <si>
    <t xml:space="preserve">      6109 Insurance - ERISA</t>
  </si>
  <si>
    <t xml:space="preserve">      6110 Subscriptions</t>
  </si>
  <si>
    <t xml:space="preserve">      6111 Student Uniforms/Apparel</t>
  </si>
  <si>
    <t xml:space="preserve">      6112 Student Meals/Snacks</t>
  </si>
  <si>
    <t xml:space="preserve">      6113 Team Building/Staff Appreciation</t>
  </si>
  <si>
    <t xml:space="preserve">   Total 6100 Administrative Expenses</t>
  </si>
  <si>
    <t xml:space="preserve">   6200 Professional Services</t>
  </si>
  <si>
    <t xml:space="preserve">      6202 Audit Fees</t>
  </si>
  <si>
    <t xml:space="preserve">      6203 Payroll Services</t>
  </si>
  <si>
    <t xml:space="preserve">      6204 Legal Services- Paid</t>
  </si>
  <si>
    <t xml:space="preserve">      6207 Financial Management Services</t>
  </si>
  <si>
    <t xml:space="preserve">      6208 Custodial Services</t>
  </si>
  <si>
    <t xml:space="preserve">      6210 Substitute Teacher Services</t>
  </si>
  <si>
    <t xml:space="preserve">      6213 Temporary Staffing Services</t>
  </si>
  <si>
    <t xml:space="preserve">      6215 ELL Consultant</t>
  </si>
  <si>
    <t xml:space="preserve">      6220 Services E-Rate</t>
  </si>
  <si>
    <t xml:space="preserve">   Total 6200 Professional Services</t>
  </si>
  <si>
    <t xml:space="preserve">   6300 Professional Development</t>
  </si>
  <si>
    <t xml:space="preserve">      6313 Staff Development Instructional Staff PD</t>
  </si>
  <si>
    <t xml:space="preserve">      6320 Non-Instructional Staff PD</t>
  </si>
  <si>
    <t xml:space="preserve">      6321 Board Expenses</t>
  </si>
  <si>
    <t xml:space="preserve">   Total 6300 Professional Development</t>
  </si>
  <si>
    <t xml:space="preserve">   6400 Marketing and Staff/Student Rec</t>
  </si>
  <si>
    <t xml:space="preserve">      6402 Staff Recruiting</t>
  </si>
  <si>
    <t xml:space="preserve">      6403 Student Recruiting</t>
  </si>
  <si>
    <t xml:space="preserve">   Total 6400 Marketing and Staff/Student Rec</t>
  </si>
  <si>
    <t xml:space="preserve">   6500 Fundraising Expenses</t>
  </si>
  <si>
    <t xml:space="preserve">      6501 General Fundraising Expenses</t>
  </si>
  <si>
    <t xml:space="preserve">   Total 6500 Fundraising Expenses</t>
  </si>
  <si>
    <t xml:space="preserve">   7100 Curriculum &amp; Classroom Expenses</t>
  </si>
  <si>
    <t xml:space="preserve">      7101 Library Materials</t>
  </si>
  <si>
    <t xml:space="preserve">      7102 Curriculum Textbooks &amp; Other Curricula</t>
  </si>
  <si>
    <t xml:space="preserve">      7103 Educational Materials- General</t>
  </si>
  <si>
    <t xml:space="preserve">      7104 Educational Materials- Special Education</t>
  </si>
  <si>
    <t xml:space="preserve">      7105 Educational Materials- ELL</t>
  </si>
  <si>
    <t xml:space="preserve">      7106 Instructional Furniture &amp; Equipment</t>
  </si>
  <si>
    <t xml:space="preserve">      7107 Standardized Test Materials/Assessment Expenses</t>
  </si>
  <si>
    <t xml:space="preserve">      7108 Student Field Trips</t>
  </si>
  <si>
    <t xml:space="preserve">      7109 Classroom Supplies- General</t>
  </si>
  <si>
    <t xml:space="preserve">      7111 Classroom Supplies- Social Work</t>
  </si>
  <si>
    <t xml:space="preserve">      7112 Sport Equipment</t>
  </si>
  <si>
    <t xml:space="preserve">      7113 Science Supplies</t>
  </si>
  <si>
    <t xml:space="preserve">      7114 Music &amp;  Language Supplies</t>
  </si>
  <si>
    <t xml:space="preserve">      7115 Art Supplies</t>
  </si>
  <si>
    <t xml:space="preserve">      7116 NYSTL Expense</t>
  </si>
  <si>
    <t xml:space="preserve">      7117 NYSSL Expense</t>
  </si>
  <si>
    <t xml:space="preserve">      7118 NYSLIB Expense</t>
  </si>
  <si>
    <t xml:space="preserve">      7122 Family Events</t>
  </si>
  <si>
    <t xml:space="preserve">      7124 After School Clubs</t>
  </si>
  <si>
    <t xml:space="preserve">   Total 7100 Curriculum &amp; Classroom Expenses</t>
  </si>
  <si>
    <t xml:space="preserve">   8100 Facility</t>
  </si>
  <si>
    <t xml:space="preserve">      8101 Rent</t>
  </si>
  <si>
    <t xml:space="preserve">      8101-2 Deferred Rent</t>
  </si>
  <si>
    <t xml:space="preserve">      8103 Electricity</t>
  </si>
  <si>
    <t xml:space="preserve">      8104 Oil</t>
  </si>
  <si>
    <t xml:space="preserve">      8107 Extermination Contract</t>
  </si>
  <si>
    <t xml:space="preserve">      8108 Contracted Security/Security Expenses</t>
  </si>
  <si>
    <t xml:space="preserve">      8109 Miscellaneous Repairs</t>
  </si>
  <si>
    <t xml:space="preserve">   Total 8100 Facility</t>
  </si>
  <si>
    <t xml:space="preserve">   8200 Technology/Communication Expens</t>
  </si>
  <si>
    <t xml:space="preserve">      8201 Telephone</t>
  </si>
  <si>
    <t xml:space="preserve">      8204 Mobile Phone Expenses</t>
  </si>
  <si>
    <t xml:space="preserve">      8205 Internet Connectivity Expenses</t>
  </si>
  <si>
    <t xml:space="preserve">      8206 Network Maintenance/Tech Support Services</t>
  </si>
  <si>
    <t xml:space="preserve">      8207 Database Development Services (SIS)</t>
  </si>
  <si>
    <t xml:space="preserve">      8208 Website Consultants/Expenses</t>
  </si>
  <si>
    <t xml:space="preserve">      8209 Technology Supplies</t>
  </si>
  <si>
    <t xml:space="preserve">   Total 8200 Technology/Communication Expens</t>
  </si>
  <si>
    <t xml:space="preserve">   8900 Depreciation Expenses</t>
  </si>
  <si>
    <t>Total Expenditures</t>
  </si>
  <si>
    <t>Net Operating Revenue</t>
  </si>
  <si>
    <t>Net Revenue</t>
  </si>
  <si>
    <t>Friday, Jul 21, 2017 12:10:41 PM GMT-7 - Accrual Basis</t>
  </si>
  <si>
    <t>GENED</t>
  </si>
  <si>
    <t>SPED</t>
  </si>
  <si>
    <t xml:space="preserve">OTHER </t>
  </si>
  <si>
    <t>FUND</t>
  </si>
  <si>
    <t>M&amp;G</t>
  </si>
  <si>
    <t>Program - Gened</t>
  </si>
  <si>
    <t>Program - Sped</t>
  </si>
  <si>
    <t>M &amp; G</t>
  </si>
  <si>
    <t xml:space="preserve">CHECK </t>
  </si>
  <si>
    <t xml:space="preserve"># of Students </t>
  </si>
  <si>
    <t>Methodology (Salary based)</t>
  </si>
  <si>
    <t>Pupil Based</t>
  </si>
  <si>
    <t>x</t>
  </si>
  <si>
    <t xml:space="preserve">   Total Personnel</t>
  </si>
  <si>
    <t>School Operations Other</t>
  </si>
  <si>
    <t>INSTRUCTIONAL PERSONNEL COSTS Other</t>
  </si>
  <si>
    <t>Security Contract</t>
  </si>
  <si>
    <t>Equipment / Furniture - School Operations</t>
  </si>
  <si>
    <t>Equipment / Furniture - Facility Operation &amp; Maintenance</t>
  </si>
  <si>
    <t>UPK Funding, State Senate Per Pupil Supplement</t>
  </si>
  <si>
    <t>NYSTL</t>
  </si>
  <si>
    <t>Dean of Students, Dir. of Counseling, Dir. of Support Services, ED Time Coordinator</t>
  </si>
  <si>
    <t>Operations Manager</t>
  </si>
  <si>
    <t>Associate UPK Teachers</t>
  </si>
  <si>
    <t>ELL, Art, Gym, Intervention, Phys Ed, Learning Specialists</t>
  </si>
  <si>
    <t>School Counselor</t>
  </si>
  <si>
    <t>1 custodian</t>
  </si>
  <si>
    <t>After school stipends</t>
  </si>
  <si>
    <t xml:space="preserve">      5107 Music Teacher</t>
  </si>
  <si>
    <t xml:space="preserve">      5123 Assessment Coordinator</t>
  </si>
  <si>
    <t xml:space="preserve">      5127 Math Coordinator</t>
  </si>
  <si>
    <t xml:space="preserve">      5138 Upper &amp; MS ED Time Coordinator</t>
  </si>
  <si>
    <t xml:space="preserve">      5139 Literacy Coordinator</t>
  </si>
  <si>
    <t xml:space="preserve">      5205 Finance Mananger</t>
  </si>
  <si>
    <t xml:space="preserve">      5220 Director of Recruitment</t>
  </si>
  <si>
    <t xml:space="preserve">      5418 401(k) Matching</t>
  </si>
  <si>
    <t xml:space="preserve">      6221 Grant Consulting/Writing</t>
  </si>
  <si>
    <t xml:space="preserve">      5304 Stipend</t>
  </si>
  <si>
    <t>Includes Shared staff with Growing Up Green I - Exec Assit., IT Coord., Facilities Manager, Parent Coordinator, Dir. of Recruitment</t>
  </si>
  <si>
    <t>UPK and K-4 Teachers</t>
  </si>
  <si>
    <t>ICT Teachers K-4</t>
  </si>
  <si>
    <t>353 K-4, 33 UPK</t>
  </si>
  <si>
    <t>PROJECTED BUDGET FOR 2018-2019</t>
  </si>
  <si>
    <t>Assistant School Leader</t>
  </si>
  <si>
    <t>Executive Director(30% of time), School Leader</t>
  </si>
  <si>
    <t>2018-19 Budget &amp; Cash Flow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</si>
</sst>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_(* \(#,##0\);_(* &quot;-&quot;_);_(@_)"/>
    <numFmt numFmtId="44" formatCode="_(&quot;$&quot;* #,##0.00_);_(&quot;$&quot;* \(#,##0.00\);_(&quot;$&quot;* &quot;-&quot;??_);_(@_)"/>
    <numFmt numFmtId="43" formatCode="_(* #,##0.00_);_(* \(#,##0.00\);_(* &quot;-&quot;??_);_(@_)"/>
    <numFmt numFmtId="164" formatCode="_(* #,##0.00_);_(* \(#,##0.00\);_(* &quot;-&quot;_);_(@_)"/>
    <numFmt numFmtId="165" formatCode="#,##0.00;[Red]\(#,##0.00\)"/>
    <numFmt numFmtId="166" formatCode="_(* #,##0_);_(* \(#,##0\);_(* &quot;-&quot;??_);_(@_)"/>
    <numFmt numFmtId="167" formatCode="&quot;$&quot;#,##0.00"/>
    <numFmt numFmtId="168" formatCode="#,##0.00\ _€"/>
    <numFmt numFmtId="169" formatCode="&quot;$&quot;* #,##0.00\ _€"/>
    <numFmt numFmtId="170" formatCode="&quot;$&quot;* #,##0.00"/>
  </numFmts>
  <fonts count="74" x14ac:knownFonts="1">
    <font>
      <sz val="11"/>
      <name val="Arial"/>
    </font>
    <font>
      <sz val="11"/>
      <name val="Arial"/>
      <family val="2"/>
    </font>
    <font>
      <sz val="8"/>
      <name val="Arial"/>
      <family val="2"/>
    </font>
    <font>
      <sz val="8"/>
      <name val="Arial"/>
      <family val="2"/>
    </font>
    <font>
      <sz val="8"/>
      <color indexed="8"/>
      <name val="Arial"/>
      <family val="2"/>
    </font>
    <font>
      <u val="singleAccounting"/>
      <sz val="8"/>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0"/>
      <color indexed="8"/>
      <name val="Arial"/>
      <family val="2"/>
    </font>
    <font>
      <sz val="11"/>
      <color indexed="52"/>
      <name val="Calibri"/>
      <family val="2"/>
    </font>
    <font>
      <sz val="11"/>
      <color indexed="60"/>
      <name val="Calibri"/>
      <family val="2"/>
    </font>
    <font>
      <sz val="10"/>
      <name val="Arial"/>
      <family val="2"/>
    </font>
    <font>
      <b/>
      <sz val="11"/>
      <color indexed="63"/>
      <name val="Calibri"/>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12"/>
      <name val="Arial"/>
      <family val="2"/>
    </font>
    <font>
      <sz val="10"/>
      <color indexed="8"/>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b/>
      <sz val="9"/>
      <color indexed="81"/>
      <name val="Tahoma"/>
      <family val="2"/>
    </font>
    <font>
      <sz val="9"/>
      <color indexed="81"/>
      <name val="Tahoma"/>
      <family val="2"/>
    </font>
    <font>
      <sz val="11"/>
      <color indexed="60"/>
      <name val="Arial"/>
      <family val="2"/>
    </font>
    <font>
      <sz val="11"/>
      <name val="Arial"/>
      <family val="2"/>
    </font>
    <font>
      <i/>
      <sz val="8"/>
      <color indexed="60"/>
      <name val="Arial"/>
      <family val="2"/>
    </font>
    <font>
      <b/>
      <sz val="11"/>
      <name val="Arial"/>
      <family val="2"/>
    </font>
    <font>
      <b/>
      <sz val="12"/>
      <color indexed="60"/>
      <name val="Arial"/>
      <family val="2"/>
    </font>
    <font>
      <sz val="12"/>
      <color indexed="60"/>
      <name val="Arial"/>
      <family val="2"/>
    </font>
    <font>
      <b/>
      <sz val="12"/>
      <name val="Arial"/>
      <family val="2"/>
    </font>
    <font>
      <b/>
      <sz val="8"/>
      <name val="Arial"/>
      <family val="2"/>
    </font>
    <font>
      <b/>
      <i/>
      <sz val="8"/>
      <name val="Arial"/>
      <family val="2"/>
    </font>
    <font>
      <u/>
      <sz val="24"/>
      <color indexed="62"/>
      <name val="Arial"/>
      <family val="2"/>
    </font>
    <font>
      <b/>
      <u/>
      <sz val="24"/>
      <color indexed="8"/>
      <name val="Arial"/>
      <family val="2"/>
    </font>
    <font>
      <u/>
      <sz val="11"/>
      <name val="Arial"/>
      <family val="2"/>
    </font>
    <font>
      <b/>
      <sz val="14"/>
      <color indexed="54"/>
      <name val="Arial"/>
      <family val="2"/>
    </font>
    <font>
      <i/>
      <u/>
      <sz val="11"/>
      <color indexed="54"/>
      <name val="Arial"/>
      <family val="2"/>
    </font>
    <font>
      <b/>
      <sz val="16"/>
      <name val="Arial"/>
      <family val="2"/>
    </font>
    <font>
      <sz val="11"/>
      <color indexed="12"/>
      <name val="Arial"/>
      <family val="2"/>
    </font>
    <font>
      <b/>
      <sz val="11"/>
      <color indexed="23"/>
      <name val="Arial"/>
      <family val="2"/>
    </font>
    <font>
      <sz val="11"/>
      <color indexed="10"/>
      <name val="Arial"/>
      <family val="2"/>
    </font>
    <font>
      <b/>
      <sz val="11"/>
      <color indexed="10"/>
      <name val="Arial"/>
      <family val="2"/>
    </font>
    <font>
      <b/>
      <u/>
      <sz val="8"/>
      <name val="Arial"/>
      <family val="2"/>
    </font>
    <font>
      <b/>
      <sz val="8"/>
      <color theme="0"/>
      <name val="Arial"/>
      <family val="2"/>
    </font>
    <font>
      <sz val="8"/>
      <color theme="0"/>
      <name val="Arial"/>
      <family val="2"/>
    </font>
    <font>
      <b/>
      <sz val="12"/>
      <color rgb="FF0000FF"/>
      <name val="Arial"/>
      <family val="2"/>
    </font>
    <font>
      <b/>
      <sz val="14"/>
      <color indexed="8"/>
      <name val="Arial"/>
      <family val="2"/>
    </font>
    <font>
      <b/>
      <sz val="10"/>
      <color indexed="8"/>
      <name val="Arial"/>
      <family val="2"/>
    </font>
    <font>
      <b/>
      <sz val="9"/>
      <color indexed="8"/>
      <name val="Arial"/>
      <family val="2"/>
    </font>
    <font>
      <b/>
      <sz val="8"/>
      <color indexed="8"/>
      <name val="Arial"/>
      <family val="2"/>
    </font>
    <font>
      <sz val="8"/>
      <color indexed="8"/>
      <name val="Arial"/>
      <family val="2"/>
    </font>
    <font>
      <b/>
      <sz val="10"/>
      <color theme="0"/>
      <name val="Calibri"/>
      <family val="2"/>
      <scheme val="minor"/>
    </font>
    <font>
      <sz val="10"/>
      <name val="Calibri"/>
      <family val="2"/>
      <scheme val="minor"/>
    </font>
    <font>
      <b/>
      <u/>
      <sz val="10"/>
      <color theme="0"/>
      <name val="Calibri"/>
      <family val="2"/>
      <scheme val="minor"/>
    </font>
    <font>
      <b/>
      <sz val="10"/>
      <name val="Calibri"/>
      <family val="2"/>
      <scheme val="minor"/>
    </font>
    <font>
      <b/>
      <sz val="10"/>
      <color rgb="FF000000"/>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00206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7" tint="0.79998168889431442"/>
        <bgColor indexed="64"/>
      </patternFill>
    </fill>
  </fills>
  <borders count="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hair">
        <color indexed="64"/>
      </bottom>
      <diagonal/>
    </border>
  </borders>
  <cellStyleXfs count="7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22" borderId="0">
      <alignment horizontal="left"/>
    </xf>
    <xf numFmtId="0" fontId="14" fillId="22" borderId="0">
      <alignment horizontal="right"/>
    </xf>
    <xf numFmtId="0" fontId="15" fillId="23" borderId="0">
      <alignment horizontal="center"/>
    </xf>
    <xf numFmtId="0" fontId="14" fillId="22" borderId="0">
      <alignment horizontal="right"/>
    </xf>
    <xf numFmtId="0" fontId="16" fillId="23" borderId="0">
      <alignment horizontal="left"/>
    </xf>
    <xf numFmtId="43"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13" fillId="22" borderId="0">
      <alignment horizontal="left"/>
    </xf>
    <xf numFmtId="0" fontId="23" fillId="23" borderId="0">
      <alignment horizontal="left"/>
    </xf>
    <xf numFmtId="0" fontId="24" fillId="0" borderId="6" applyNumberFormat="0" applyFill="0" applyAlignment="0" applyProtection="0"/>
    <xf numFmtId="0" fontId="25" fillId="24" borderId="0" applyNumberFormat="0" applyBorder="0" applyAlignment="0" applyProtection="0"/>
    <xf numFmtId="0" fontId="26" fillId="0" borderId="0"/>
    <xf numFmtId="0" fontId="8" fillId="25" borderId="7" applyNumberFormat="0" applyFont="0" applyAlignment="0" applyProtection="0"/>
    <xf numFmtId="0" fontId="27" fillId="20" borderId="8" applyNumberFormat="0" applyAlignment="0" applyProtection="0"/>
    <xf numFmtId="165" fontId="28" fillId="23" borderId="0">
      <alignment horizontal="right"/>
    </xf>
    <xf numFmtId="0" fontId="29" fillId="26" borderId="0">
      <alignment horizontal="center"/>
    </xf>
    <xf numFmtId="0" fontId="13" fillId="27" borderId="0"/>
    <xf numFmtId="0" fontId="30" fillId="23" borderId="0" applyBorder="0">
      <alignment horizontal="centerContinuous"/>
    </xf>
    <xf numFmtId="0" fontId="31" fillId="27" borderId="0" applyBorder="0">
      <alignment horizontal="centerContinuous"/>
    </xf>
    <xf numFmtId="0" fontId="23" fillId="24" borderId="0">
      <alignment horizontal="center"/>
    </xf>
    <xf numFmtId="49" fontId="32" fillId="23" borderId="0">
      <alignment horizontal="center"/>
    </xf>
    <xf numFmtId="0" fontId="14" fillId="22" borderId="0">
      <alignment horizontal="center"/>
    </xf>
    <xf numFmtId="0" fontId="14" fillId="22" borderId="0">
      <alignment horizontal="centerContinuous"/>
    </xf>
    <xf numFmtId="0" fontId="4" fillId="23" borderId="0">
      <alignment horizontal="left"/>
    </xf>
    <xf numFmtId="49" fontId="4" fillId="23" borderId="0">
      <alignment horizontal="center"/>
    </xf>
    <xf numFmtId="0" fontId="13" fillId="22" borderId="0">
      <alignment horizontal="left"/>
    </xf>
    <xf numFmtId="49" fontId="4" fillId="23" borderId="0">
      <alignment horizontal="left"/>
    </xf>
    <xf numFmtId="0" fontId="13" fillId="22" borderId="0">
      <alignment horizontal="centerContinuous"/>
    </xf>
    <xf numFmtId="0" fontId="13" fillId="22" borderId="0">
      <alignment horizontal="right"/>
    </xf>
    <xf numFmtId="49" fontId="23" fillId="23" borderId="0">
      <alignment horizontal="left"/>
    </xf>
    <xf numFmtId="0" fontId="14" fillId="22" borderId="0">
      <alignment horizontal="right"/>
    </xf>
    <xf numFmtId="0" fontId="4" fillId="7" borderId="0">
      <alignment horizontal="center"/>
    </xf>
    <xf numFmtId="0" fontId="33" fillId="7" borderId="0">
      <alignment horizontal="center"/>
    </xf>
    <xf numFmtId="0" fontId="34" fillId="0" borderId="0" applyNumberFormat="0" applyBorder="0" applyAlignment="0"/>
    <xf numFmtId="0" fontId="35" fillId="0" borderId="0" applyNumberFormat="0" applyFill="0" applyBorder="0" applyAlignment="0" applyProtection="0"/>
    <xf numFmtId="0" fontId="36" fillId="0" borderId="9" applyNumberFormat="0" applyFill="0" applyAlignment="0" applyProtection="0"/>
    <xf numFmtId="0" fontId="37" fillId="23" borderId="0">
      <alignment horizontal="center"/>
    </xf>
    <xf numFmtId="0" fontId="38" fillId="0" borderId="0" applyNumberForma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43" fontId="26" fillId="0" borderId="0" applyFont="0" applyFill="0" applyBorder="0" applyAlignment="0" applyProtection="0"/>
  </cellStyleXfs>
  <cellXfs count="214">
    <xf numFmtId="0" fontId="0" fillId="0" borderId="0" xfId="0"/>
    <xf numFmtId="0" fontId="41" fillId="28" borderId="10" xfId="0" applyFont="1" applyFill="1" applyBorder="1"/>
    <xf numFmtId="0" fontId="45" fillId="0" borderId="10" xfId="0" applyFont="1" applyFill="1" applyBorder="1" applyAlignment="1">
      <alignment horizontal="left"/>
    </xf>
    <xf numFmtId="0" fontId="46" fillId="0" borderId="10" xfId="0" applyFont="1" applyFill="1" applyBorder="1"/>
    <xf numFmtId="0" fontId="44" fillId="28" borderId="0" xfId="0" quotePrefix="1" applyFont="1" applyFill="1" applyBorder="1" applyAlignment="1">
      <alignment horizontal="center"/>
    </xf>
    <xf numFmtId="0" fontId="42" fillId="28" borderId="0" xfId="0" applyFont="1" applyFill="1" applyBorder="1"/>
    <xf numFmtId="0" fontId="50" fillId="0" borderId="0" xfId="0" applyFont="1" applyBorder="1" applyAlignment="1"/>
    <xf numFmtId="0" fontId="52" fillId="28" borderId="0" xfId="0" applyFont="1" applyFill="1" applyBorder="1"/>
    <xf numFmtId="0" fontId="54" fillId="28" borderId="0" xfId="0" applyFont="1" applyFill="1" applyBorder="1"/>
    <xf numFmtId="0" fontId="42" fillId="28" borderId="10" xfId="0" applyFont="1" applyFill="1" applyBorder="1"/>
    <xf numFmtId="166" fontId="44" fillId="28" borderId="35" xfId="33" quotePrefix="1" applyNumberFormat="1" applyFont="1" applyFill="1" applyBorder="1" applyAlignment="1">
      <alignment horizontal="center"/>
    </xf>
    <xf numFmtId="166" fontId="44" fillId="28" borderId="36" xfId="33" quotePrefix="1" applyNumberFormat="1" applyFont="1" applyFill="1" applyBorder="1" applyAlignment="1">
      <alignment horizontal="center"/>
    </xf>
    <xf numFmtId="166" fontId="44" fillId="28" borderId="37" xfId="33" applyNumberFormat="1" applyFont="1" applyFill="1" applyBorder="1" applyAlignment="1"/>
    <xf numFmtId="0" fontId="48" fillId="29" borderId="0" xfId="0" applyFont="1" applyFill="1" applyBorder="1" applyAlignment="1" applyProtection="1"/>
    <xf numFmtId="0" fontId="3" fillId="29" borderId="0" xfId="0" applyFont="1" applyFill="1" applyBorder="1" applyProtection="1"/>
    <xf numFmtId="0" fontId="48" fillId="29" borderId="0" xfId="0" applyFont="1" applyFill="1" applyBorder="1" applyAlignment="1" applyProtection="1">
      <alignment horizontal="center" vertical="center" wrapText="1"/>
    </xf>
    <xf numFmtId="0" fontId="3" fillId="29" borderId="0" xfId="0" applyFont="1" applyFill="1" applyBorder="1" applyAlignment="1" applyProtection="1"/>
    <xf numFmtId="41" fontId="3" fillId="29" borderId="0" xfId="0" applyNumberFormat="1" applyFont="1" applyFill="1" applyBorder="1" applyAlignment="1" applyProtection="1">
      <alignment horizontal="right"/>
    </xf>
    <xf numFmtId="0" fontId="48" fillId="29" borderId="0" xfId="0" applyFont="1" applyFill="1" applyBorder="1" applyAlignment="1" applyProtection="1">
      <alignment horizontal="right"/>
    </xf>
    <xf numFmtId="41" fontId="48" fillId="29" borderId="0" xfId="0" applyNumberFormat="1" applyFont="1" applyFill="1" applyBorder="1" applyAlignment="1" applyProtection="1">
      <alignment horizontal="center"/>
    </xf>
    <xf numFmtId="41" fontId="3" fillId="29" borderId="0" xfId="0" applyNumberFormat="1" applyFont="1" applyFill="1" applyBorder="1" applyProtection="1"/>
    <xf numFmtId="41" fontId="3" fillId="29" borderId="0" xfId="0" applyNumberFormat="1" applyFont="1" applyFill="1" applyBorder="1" applyAlignment="1" applyProtection="1">
      <alignment horizontal="center" wrapText="1"/>
    </xf>
    <xf numFmtId="0" fontId="48" fillId="29" borderId="0" xfId="0" applyFont="1" applyFill="1" applyBorder="1" applyAlignment="1" applyProtection="1">
      <alignment horizontal="left" vertical="center"/>
    </xf>
    <xf numFmtId="0" fontId="48" fillId="29" borderId="0" xfId="0" applyFont="1" applyFill="1" applyBorder="1" applyAlignment="1" applyProtection="1">
      <alignment horizontal="center" textRotation="60" wrapText="1"/>
    </xf>
    <xf numFmtId="0" fontId="48" fillId="29" borderId="0" xfId="0" applyFont="1" applyFill="1" applyBorder="1" applyAlignment="1" applyProtection="1">
      <alignment horizontal="left" wrapText="1"/>
    </xf>
    <xf numFmtId="41" fontId="48" fillId="29" borderId="0" xfId="0" applyNumberFormat="1" applyFont="1" applyFill="1" applyBorder="1" applyAlignment="1" applyProtection="1">
      <alignment horizontal="right" wrapText="1"/>
    </xf>
    <xf numFmtId="0" fontId="48" fillId="29" borderId="0" xfId="0" applyFont="1" applyFill="1" applyBorder="1" applyAlignment="1" applyProtection="1">
      <alignment vertical="center"/>
    </xf>
    <xf numFmtId="3" fontId="3" fillId="29" borderId="0" xfId="0" applyNumberFormat="1" applyFont="1" applyFill="1" applyBorder="1" applyAlignment="1" applyProtection="1">
      <alignment wrapText="1"/>
    </xf>
    <xf numFmtId="41" fontId="3" fillId="29" borderId="0" xfId="0" applyNumberFormat="1" applyFont="1" applyFill="1" applyBorder="1" applyAlignment="1" applyProtection="1">
      <alignment horizontal="right" wrapText="1"/>
    </xf>
    <xf numFmtId="41" fontId="3" fillId="29" borderId="0" xfId="0" applyNumberFormat="1" applyFont="1" applyFill="1" applyBorder="1" applyAlignment="1" applyProtection="1">
      <alignment vertical="center" wrapText="1"/>
    </xf>
    <xf numFmtId="3" fontId="3" fillId="29" borderId="0" xfId="0" applyNumberFormat="1" applyFont="1" applyFill="1" applyBorder="1" applyAlignment="1" applyProtection="1"/>
    <xf numFmtId="0" fontId="3" fillId="29" borderId="0" xfId="0" applyFont="1" applyFill="1" applyBorder="1" applyAlignment="1" applyProtection="1">
      <alignment vertical="center"/>
    </xf>
    <xf numFmtId="41" fontId="3" fillId="29" borderId="0" xfId="0" applyNumberFormat="1" applyFont="1" applyFill="1" applyBorder="1" applyAlignment="1" applyProtection="1">
      <alignment horizontal="right" vertical="center" wrapText="1"/>
    </xf>
    <xf numFmtId="0" fontId="3" fillId="29" borderId="0" xfId="0" applyFont="1" applyFill="1" applyBorder="1" applyAlignment="1" applyProtection="1">
      <alignment vertical="center" wrapText="1"/>
    </xf>
    <xf numFmtId="3" fontId="48" fillId="29" borderId="0" xfId="0" applyNumberFormat="1" applyFont="1" applyFill="1" applyBorder="1" applyAlignment="1" applyProtection="1">
      <alignment horizontal="center" wrapText="1"/>
    </xf>
    <xf numFmtId="0" fontId="3" fillId="29" borderId="0" xfId="0" applyFont="1" applyFill="1" applyBorder="1" applyAlignment="1" applyProtection="1">
      <alignment horizontal="left" vertical="center"/>
    </xf>
    <xf numFmtId="41" fontId="3" fillId="29" borderId="0" xfId="0" applyNumberFormat="1" applyFont="1" applyFill="1" applyBorder="1" applyAlignment="1" applyProtection="1">
      <alignment horizontal="right" vertical="center"/>
    </xf>
    <xf numFmtId="41" fontId="5" fillId="29" borderId="0" xfId="0" applyNumberFormat="1" applyFont="1" applyFill="1" applyBorder="1" applyAlignment="1" applyProtection="1">
      <alignment horizontal="right" vertical="center"/>
    </xf>
    <xf numFmtId="0" fontId="15" fillId="29" borderId="0" xfId="0" applyFont="1" applyFill="1" applyBorder="1" applyAlignment="1" applyProtection="1">
      <alignment horizontal="left" vertical="top"/>
    </xf>
    <xf numFmtId="164" fontId="3" fillId="29" borderId="0" xfId="0" applyNumberFormat="1" applyFont="1" applyFill="1" applyBorder="1" applyAlignment="1" applyProtection="1">
      <alignment vertical="center" wrapText="1"/>
    </xf>
    <xf numFmtId="0" fontId="49" fillId="29" borderId="0" xfId="0" applyFont="1" applyFill="1" applyBorder="1" applyAlignment="1" applyProtection="1">
      <alignment vertical="center" wrapText="1"/>
    </xf>
    <xf numFmtId="41" fontId="49" fillId="29" borderId="0" xfId="0" applyNumberFormat="1" applyFont="1" applyFill="1" applyBorder="1" applyAlignment="1" applyProtection="1">
      <alignment horizontal="right" vertical="center" wrapText="1"/>
    </xf>
    <xf numFmtId="41" fontId="3" fillId="29" borderId="0" xfId="0" applyNumberFormat="1" applyFont="1" applyFill="1" applyBorder="1" applyAlignment="1" applyProtection="1">
      <alignment wrapText="1"/>
    </xf>
    <xf numFmtId="41" fontId="3" fillId="29" borderId="0" xfId="0" applyNumberFormat="1" applyFont="1" applyFill="1" applyBorder="1" applyAlignment="1" applyProtection="1"/>
    <xf numFmtId="1" fontId="3" fillId="29" borderId="0" xfId="0" applyNumberFormat="1" applyFont="1" applyFill="1" applyBorder="1" applyAlignment="1" applyProtection="1"/>
    <xf numFmtId="1" fontId="3" fillId="29" borderId="0" xfId="0" applyNumberFormat="1" applyFont="1" applyFill="1" applyBorder="1" applyAlignment="1" applyProtection="1">
      <alignment wrapText="1"/>
    </xf>
    <xf numFmtId="41" fontId="48" fillId="29" borderId="38" xfId="0" applyNumberFormat="1" applyFont="1" applyFill="1" applyBorder="1" applyAlignment="1" applyProtection="1">
      <alignment horizontal="center"/>
    </xf>
    <xf numFmtId="41" fontId="48" fillId="29" borderId="39" xfId="0" applyNumberFormat="1" applyFont="1" applyFill="1" applyBorder="1" applyAlignment="1" applyProtection="1">
      <alignment horizontal="center"/>
    </xf>
    <xf numFmtId="41" fontId="48" fillId="29" borderId="40" xfId="0" applyNumberFormat="1" applyFont="1" applyFill="1" applyBorder="1" applyAlignment="1" applyProtection="1">
      <alignment horizontal="center"/>
    </xf>
    <xf numFmtId="41" fontId="48" fillId="29" borderId="35" xfId="0" applyNumberFormat="1" applyFont="1" applyFill="1" applyBorder="1" applyAlignment="1" applyProtection="1">
      <alignment horizontal="center"/>
    </xf>
    <xf numFmtId="41" fontId="48" fillId="29" borderId="41" xfId="0" applyNumberFormat="1" applyFont="1" applyFill="1" applyBorder="1" applyAlignment="1" applyProtection="1">
      <alignment horizontal="center"/>
    </xf>
    <xf numFmtId="41" fontId="48" fillId="29" borderId="36" xfId="0" applyNumberFormat="1" applyFont="1" applyFill="1" applyBorder="1" applyAlignment="1" applyProtection="1">
      <alignment horizontal="center"/>
    </xf>
    <xf numFmtId="41" fontId="48" fillId="30" borderId="37" xfId="0" applyNumberFormat="1" applyFont="1" applyFill="1" applyBorder="1" applyAlignment="1" applyProtection="1">
      <alignment horizontal="center"/>
      <protection locked="0"/>
    </xf>
    <xf numFmtId="41" fontId="3" fillId="31" borderId="11" xfId="0" applyNumberFormat="1" applyFont="1" applyFill="1" applyBorder="1" applyAlignment="1" applyProtection="1">
      <alignment vertical="center" wrapText="1"/>
      <protection locked="0"/>
    </xf>
    <xf numFmtId="41" fontId="61" fillId="32" borderId="1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1"/>
    </xf>
    <xf numFmtId="41" fontId="48" fillId="29" borderId="42" xfId="0" applyNumberFormat="1" applyFont="1" applyFill="1" applyBorder="1" applyAlignment="1" applyProtection="1">
      <alignment horizontal="center"/>
    </xf>
    <xf numFmtId="41" fontId="3" fillId="33" borderId="12" xfId="0" applyNumberFormat="1" applyFont="1" applyFill="1" applyBorder="1" applyAlignment="1" applyProtection="1">
      <alignment vertical="center" wrapText="1"/>
    </xf>
    <xf numFmtId="41" fontId="61" fillId="32" borderId="12" xfId="0" applyNumberFormat="1" applyFont="1" applyFill="1" applyBorder="1" applyAlignment="1" applyProtection="1">
      <alignment vertical="center" wrapText="1"/>
    </xf>
    <xf numFmtId="0" fontId="60" fillId="34" borderId="13" xfId="0" applyFont="1" applyFill="1" applyBorder="1" applyAlignment="1" applyProtection="1">
      <alignment horizontal="center"/>
    </xf>
    <xf numFmtId="0" fontId="3" fillId="29" borderId="14" xfId="0" applyFont="1" applyFill="1" applyBorder="1" applyProtection="1"/>
    <xf numFmtId="0" fontId="3" fillId="29" borderId="15" xfId="0" applyFont="1" applyFill="1" applyBorder="1" applyAlignment="1" applyProtection="1">
      <alignment horizontal="left"/>
    </xf>
    <xf numFmtId="0" fontId="3" fillId="29" borderId="14" xfId="0" applyFont="1" applyFill="1" applyBorder="1" applyAlignment="1" applyProtection="1">
      <alignment horizontal="left"/>
    </xf>
    <xf numFmtId="0" fontId="48" fillId="29" borderId="14" xfId="0" applyFont="1" applyFill="1" applyBorder="1" applyAlignment="1" applyProtection="1">
      <alignment horizontal="left" textRotation="60" wrapText="1"/>
    </xf>
    <xf numFmtId="3" fontId="3" fillId="29" borderId="14" xfId="0" applyNumberFormat="1" applyFont="1" applyFill="1" applyBorder="1" applyAlignment="1" applyProtection="1">
      <alignment horizontal="left" wrapText="1"/>
    </xf>
    <xf numFmtId="3" fontId="3"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wrapText="1"/>
    </xf>
    <xf numFmtId="3" fontId="3" fillId="29" borderId="16" xfId="0" applyNumberFormat="1" applyFont="1" applyFill="1" applyBorder="1" applyAlignment="1" applyProtection="1"/>
    <xf numFmtId="0" fontId="62" fillId="35" borderId="0" xfId="0" applyFont="1" applyFill="1" applyBorder="1" applyProtection="1"/>
    <xf numFmtId="0" fontId="62" fillId="35" borderId="14" xfId="0" applyFont="1" applyFill="1" applyBorder="1" applyAlignment="1" applyProtection="1">
      <alignment horizontal="left"/>
    </xf>
    <xf numFmtId="41" fontId="61" fillId="35" borderId="0" xfId="0" applyNumberFormat="1" applyFont="1" applyFill="1" applyBorder="1" applyAlignment="1" applyProtection="1">
      <alignment horizontal="center" wrapText="1"/>
    </xf>
    <xf numFmtId="0" fontId="61" fillId="35" borderId="14" xfId="0" applyFont="1" applyFill="1" applyBorder="1" applyAlignment="1" applyProtection="1">
      <alignment horizontal="left" vertical="center"/>
    </xf>
    <xf numFmtId="41" fontId="3" fillId="35" borderId="0" xfId="0" applyNumberFormat="1" applyFont="1" applyFill="1" applyBorder="1" applyAlignment="1" applyProtection="1">
      <alignment horizontal="right" vertical="top" wrapText="1"/>
    </xf>
    <xf numFmtId="41" fontId="3" fillId="35" borderId="0" xfId="0" applyNumberFormat="1" applyFont="1" applyFill="1" applyBorder="1" applyAlignment="1" applyProtection="1">
      <alignment horizontal="center"/>
    </xf>
    <xf numFmtId="41" fontId="3" fillId="35" borderId="0" xfId="0" applyNumberFormat="1" applyFont="1" applyFill="1" applyBorder="1" applyAlignment="1" applyProtection="1">
      <alignment horizontal="center" wrapText="1"/>
    </xf>
    <xf numFmtId="3" fontId="3" fillId="29" borderId="15" xfId="0" applyNumberFormat="1" applyFont="1" applyFill="1" applyBorder="1" applyAlignment="1" applyProtection="1">
      <alignment horizontal="left" wrapText="1"/>
      <protection locked="0"/>
    </xf>
    <xf numFmtId="3" fontId="3" fillId="29" borderId="15" xfId="0" applyNumberFormat="1" applyFont="1" applyFill="1" applyBorder="1" applyAlignment="1" applyProtection="1">
      <alignment horizontal="left" wrapText="1"/>
    </xf>
    <xf numFmtId="164" fontId="3" fillId="31" borderId="11" xfId="0" applyNumberFormat="1" applyFont="1" applyFill="1" applyBorder="1" applyAlignment="1" applyProtection="1">
      <alignment horizontal="right" vertical="center"/>
      <protection locked="0"/>
    </xf>
    <xf numFmtId="167" fontId="43" fillId="31" borderId="11" xfId="0" applyNumberFormat="1" applyFont="1" applyFill="1" applyBorder="1" applyAlignment="1" applyProtection="1">
      <alignment horizontal="right" vertical="center"/>
      <protection locked="0"/>
    </xf>
    <xf numFmtId="0" fontId="3" fillId="29" borderId="17" xfId="0" applyFont="1" applyFill="1" applyBorder="1" applyAlignment="1" applyProtection="1">
      <alignment horizontal="left"/>
    </xf>
    <xf numFmtId="0" fontId="3" fillId="29" borderId="18" xfId="0" applyFont="1" applyFill="1" applyBorder="1" applyAlignment="1" applyProtection="1">
      <alignment horizontal="left"/>
      <protection locked="0"/>
    </xf>
    <xf numFmtId="3" fontId="48" fillId="29" borderId="19" xfId="0" applyNumberFormat="1" applyFont="1" applyFill="1" applyBorder="1" applyAlignment="1" applyProtection="1"/>
    <xf numFmtId="41" fontId="3" fillId="29" borderId="19" xfId="0" applyNumberFormat="1" applyFont="1" applyFill="1" applyBorder="1" applyAlignment="1" applyProtection="1">
      <alignment horizontal="right" wrapText="1"/>
    </xf>
    <xf numFmtId="41" fontId="3" fillId="29" borderId="19" xfId="0" applyNumberFormat="1" applyFont="1" applyFill="1" applyBorder="1" applyAlignment="1" applyProtection="1">
      <alignment vertical="center" wrapText="1"/>
    </xf>
    <xf numFmtId="41" fontId="61" fillId="32" borderId="20" xfId="0" applyNumberFormat="1" applyFont="1" applyFill="1" applyBorder="1" applyAlignment="1" applyProtection="1">
      <alignment vertical="center" wrapText="1"/>
    </xf>
    <xf numFmtId="41" fontId="3" fillId="29" borderId="2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2"/>
    </xf>
    <xf numFmtId="3" fontId="3" fillId="29" borderId="0" xfId="0" applyNumberFormat="1" applyFont="1" applyFill="1" applyBorder="1" applyAlignment="1" applyProtection="1">
      <alignment horizontal="left" indent="1"/>
    </xf>
    <xf numFmtId="0" fontId="48" fillId="29" borderId="0" xfId="0" applyFont="1" applyFill="1" applyBorder="1" applyAlignment="1" applyProtection="1">
      <alignment horizontal="left" vertical="center" indent="1"/>
    </xf>
    <xf numFmtId="0" fontId="4" fillId="29" borderId="0" xfId="0" applyFont="1" applyFill="1" applyBorder="1" applyAlignment="1" applyProtection="1">
      <alignment horizontal="left" vertical="top" indent="1"/>
    </xf>
    <xf numFmtId="41" fontId="3" fillId="33" borderId="22" xfId="0" applyNumberFormat="1" applyFont="1" applyFill="1" applyBorder="1" applyAlignment="1" applyProtection="1">
      <alignment vertical="center" wrapText="1"/>
    </xf>
    <xf numFmtId="41" fontId="48" fillId="29" borderId="0" xfId="0" applyNumberFormat="1" applyFont="1" applyFill="1" applyBorder="1" applyAlignment="1" applyProtection="1">
      <alignment vertical="center" wrapText="1"/>
    </xf>
    <xf numFmtId="41" fontId="48" fillId="29" borderId="0" xfId="0" applyNumberFormat="1" applyFont="1" applyFill="1" applyBorder="1" applyAlignment="1" applyProtection="1"/>
    <xf numFmtId="41" fontId="3" fillId="29" borderId="11" xfId="0" applyNumberFormat="1" applyFont="1" applyFill="1" applyBorder="1" applyAlignment="1" applyProtection="1">
      <protection locked="0"/>
    </xf>
    <xf numFmtId="41" fontId="61" fillId="32" borderId="11" xfId="0" applyNumberFormat="1" applyFont="1" applyFill="1" applyBorder="1" applyAlignment="1" applyProtection="1">
      <alignment horizontal="center" vertical="center" wrapText="1"/>
    </xf>
    <xf numFmtId="41" fontId="3" fillId="34" borderId="11" xfId="0" applyNumberFormat="1" applyFont="1" applyFill="1" applyBorder="1" applyAlignment="1" applyProtection="1">
      <protection locked="0"/>
    </xf>
    <xf numFmtId="41" fontId="61" fillId="35" borderId="11" xfId="0" applyNumberFormat="1" applyFont="1" applyFill="1" applyBorder="1" applyAlignment="1" applyProtection="1"/>
    <xf numFmtId="41" fontId="3" fillId="36" borderId="11" xfId="0" applyNumberFormat="1" applyFont="1" applyFill="1" applyBorder="1" applyAlignment="1" applyProtection="1">
      <alignment horizontal="center"/>
    </xf>
    <xf numFmtId="0" fontId="48" fillId="29" borderId="0" xfId="0" applyFont="1" applyFill="1" applyBorder="1" applyAlignment="1" applyProtection="1">
      <alignment horizontal="center" wrapText="1"/>
    </xf>
    <xf numFmtId="0" fontId="48"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xf>
    <xf numFmtId="3" fontId="3" fillId="29" borderId="0" xfId="0" applyNumberFormat="1" applyFont="1" applyFill="1" applyBorder="1" applyAlignment="1" applyProtection="1">
      <alignment horizontal="left" indent="2"/>
    </xf>
    <xf numFmtId="0" fontId="3" fillId="29" borderId="0" xfId="0" applyFont="1" applyFill="1" applyBorder="1" applyAlignment="1" applyProtection="1">
      <alignment horizontal="left" indent="1"/>
    </xf>
    <xf numFmtId="0" fontId="48" fillId="34" borderId="13" xfId="0" applyFont="1" applyFill="1" applyBorder="1" applyAlignment="1" applyProtection="1">
      <alignment horizontal="center" vertical="center" wrapText="1"/>
    </xf>
    <xf numFmtId="0" fontId="3" fillId="29" borderId="23" xfId="0" applyFont="1" applyFill="1" applyBorder="1" applyAlignment="1" applyProtection="1"/>
    <xf numFmtId="0" fontId="48" fillId="29" borderId="23" xfId="0" applyFont="1" applyFill="1" applyBorder="1" applyAlignment="1" applyProtection="1"/>
    <xf numFmtId="3" fontId="3" fillId="29" borderId="23" xfId="0" applyNumberFormat="1" applyFont="1" applyFill="1" applyBorder="1" applyAlignment="1" applyProtection="1">
      <alignment wrapText="1"/>
    </xf>
    <xf numFmtId="0" fontId="48" fillId="29" borderId="23" xfId="0" applyFont="1" applyFill="1" applyBorder="1" applyAlignment="1" applyProtection="1">
      <alignment vertical="center"/>
    </xf>
    <xf numFmtId="3" fontId="3" fillId="29" borderId="23" xfId="0" applyNumberFormat="1" applyFont="1" applyFill="1" applyBorder="1" applyAlignment="1" applyProtection="1"/>
    <xf numFmtId="0" fontId="48" fillId="29" borderId="23" xfId="0" applyFont="1" applyFill="1" applyBorder="1" applyAlignment="1" applyProtection="1">
      <alignment horizontal="left" vertical="center"/>
    </xf>
    <xf numFmtId="3" fontId="3" fillId="29" borderId="24" xfId="0" applyNumberFormat="1" applyFont="1" applyFill="1" applyBorder="1" applyAlignment="1" applyProtection="1"/>
    <xf numFmtId="3" fontId="3" fillId="29" borderId="25" xfId="0" applyNumberFormat="1" applyFont="1" applyFill="1" applyBorder="1" applyAlignment="1" applyProtection="1"/>
    <xf numFmtId="0" fontId="3" fillId="29" borderId="25" xfId="0" applyFont="1" applyFill="1" applyBorder="1" applyAlignment="1" applyProtection="1"/>
    <xf numFmtId="41" fontId="3" fillId="29" borderId="25" xfId="0" applyNumberFormat="1" applyFont="1" applyFill="1" applyBorder="1" applyAlignment="1" applyProtection="1">
      <alignment horizontal="right"/>
    </xf>
    <xf numFmtId="41" fontId="3" fillId="29" borderId="25" xfId="0" applyNumberFormat="1" applyFont="1" applyFill="1" applyBorder="1" applyAlignment="1" applyProtection="1"/>
    <xf numFmtId="41" fontId="48" fillId="30" borderId="43" xfId="0" applyNumberFormat="1" applyFont="1" applyFill="1" applyBorder="1" applyAlignment="1" applyProtection="1">
      <alignment horizontal="center"/>
      <protection locked="0"/>
    </xf>
    <xf numFmtId="41" fontId="48" fillId="29" borderId="44" xfId="0" applyNumberFormat="1" applyFont="1" applyFill="1" applyBorder="1" applyAlignment="1" applyProtection="1">
      <alignment horizontal="center"/>
    </xf>
    <xf numFmtId="41" fontId="48" fillId="37" borderId="11" xfId="0" applyNumberFormat="1" applyFont="1" applyFill="1" applyBorder="1" applyAlignment="1" applyProtection="1">
      <alignment horizontal="center"/>
    </xf>
    <xf numFmtId="3" fontId="48" fillId="29" borderId="19" xfId="0" applyNumberFormat="1" applyFont="1" applyFill="1" applyBorder="1" applyAlignment="1" applyProtection="1">
      <alignment horizontal="left"/>
    </xf>
    <xf numFmtId="0" fontId="48" fillId="29" borderId="26" xfId="0" applyFont="1" applyFill="1" applyBorder="1" applyAlignment="1" applyProtection="1">
      <alignment horizontal="left" vertical="center"/>
    </xf>
    <xf numFmtId="41" fontId="3" fillId="29" borderId="26" xfId="0" applyNumberFormat="1" applyFont="1" applyFill="1" applyBorder="1" applyAlignment="1" applyProtection="1">
      <alignment horizontal="right" wrapText="1"/>
    </xf>
    <xf numFmtId="41" fontId="3" fillId="29" borderId="26" xfId="0" applyNumberFormat="1" applyFont="1" applyFill="1" applyBorder="1" applyAlignment="1" applyProtection="1">
      <alignment vertical="center" wrapText="1"/>
    </xf>
    <xf numFmtId="41" fontId="61" fillId="32" borderId="27" xfId="0" applyNumberFormat="1" applyFont="1" applyFill="1" applyBorder="1" applyAlignment="1" applyProtection="1">
      <alignment vertical="center" wrapText="1"/>
    </xf>
    <xf numFmtId="41" fontId="61" fillId="32" borderId="28" xfId="0" applyNumberFormat="1" applyFont="1" applyFill="1" applyBorder="1" applyAlignment="1" applyProtection="1">
      <alignment vertical="center" wrapText="1"/>
    </xf>
    <xf numFmtId="41" fontId="48" fillId="36" borderId="11" xfId="0" applyNumberFormat="1" applyFont="1" applyFill="1" applyBorder="1" applyAlignment="1" applyProtection="1">
      <alignment vertical="center" wrapText="1"/>
    </xf>
    <xf numFmtId="41" fontId="48" fillId="36" borderId="12" xfId="0" applyNumberFormat="1" applyFont="1" applyFill="1" applyBorder="1" applyAlignment="1" applyProtection="1">
      <alignment vertical="center" wrapText="1"/>
    </xf>
    <xf numFmtId="0" fontId="48" fillId="29" borderId="19" xfId="0" applyFont="1" applyFill="1" applyBorder="1" applyAlignment="1" applyProtection="1">
      <alignment horizontal="left" vertical="center"/>
    </xf>
    <xf numFmtId="41" fontId="49" fillId="29" borderId="19" xfId="0" applyNumberFormat="1" applyFont="1" applyFill="1" applyBorder="1" applyAlignment="1" applyProtection="1">
      <alignment horizontal="right" vertical="center" wrapText="1"/>
    </xf>
    <xf numFmtId="0" fontId="15" fillId="29" borderId="19" xfId="0" applyFont="1" applyFill="1" applyBorder="1" applyAlignment="1" applyProtection="1">
      <alignment horizontal="left" vertical="top"/>
    </xf>
    <xf numFmtId="41" fontId="3" fillId="29" borderId="19" xfId="0" applyNumberFormat="1" applyFont="1" applyFill="1" applyBorder="1" applyAlignment="1" applyProtection="1">
      <alignment horizontal="right"/>
    </xf>
    <xf numFmtId="41" fontId="3" fillId="29" borderId="19" xfId="0" applyNumberFormat="1" applyFont="1" applyFill="1" applyBorder="1" applyAlignment="1" applyProtection="1">
      <alignment horizontal="right" vertical="center"/>
    </xf>
    <xf numFmtId="0" fontId="55" fillId="28" borderId="0" xfId="0" applyFont="1" applyFill="1" applyBorder="1" applyAlignment="1">
      <alignment horizontal="center" wrapText="1"/>
    </xf>
    <xf numFmtId="0" fontId="0" fillId="0" borderId="0" xfId="0" applyAlignment="1">
      <alignment wrapText="1"/>
    </xf>
    <xf numFmtId="0" fontId="66" fillId="0" borderId="51" xfId="0" applyFont="1" applyBorder="1" applyAlignment="1">
      <alignment horizontal="center" wrapText="1"/>
    </xf>
    <xf numFmtId="0" fontId="67" fillId="0" borderId="0" xfId="0" applyFont="1" applyAlignment="1">
      <alignment horizontal="left" wrapText="1"/>
    </xf>
    <xf numFmtId="168" fontId="68" fillId="0" borderId="0" xfId="0" applyNumberFormat="1" applyFont="1" applyAlignment="1">
      <alignment wrapText="1"/>
    </xf>
    <xf numFmtId="49" fontId="69" fillId="38" borderId="32" xfId="72" applyNumberFormat="1" applyFont="1" applyFill="1" applyBorder="1" applyAlignment="1">
      <alignment horizontal="center" vertical="center"/>
    </xf>
    <xf numFmtId="49" fontId="69" fillId="38" borderId="33" xfId="72" applyNumberFormat="1" applyFont="1" applyFill="1" applyBorder="1" applyAlignment="1">
      <alignment horizontal="center" vertical="center"/>
    </xf>
    <xf numFmtId="49" fontId="69" fillId="38" borderId="33" xfId="72" applyNumberFormat="1" applyFont="1" applyFill="1" applyBorder="1" applyAlignment="1">
      <alignment horizontal="center" vertical="center" wrapText="1"/>
    </xf>
    <xf numFmtId="49" fontId="69" fillId="38" borderId="34" xfId="72" applyNumberFormat="1" applyFont="1" applyFill="1" applyBorder="1" applyAlignment="1">
      <alignment horizontal="center" vertical="center"/>
    </xf>
    <xf numFmtId="0" fontId="70" fillId="0" borderId="0" xfId="0" applyFont="1" applyAlignment="1" applyProtection="1">
      <alignment horizontal="center"/>
    </xf>
    <xf numFmtId="49" fontId="71" fillId="38" borderId="34" xfId="72" applyNumberFormat="1" applyFont="1" applyFill="1" applyBorder="1" applyAlignment="1">
      <alignment horizontal="center" vertical="center"/>
    </xf>
    <xf numFmtId="1" fontId="70" fillId="39" borderId="0" xfId="0" applyNumberFormat="1" applyFont="1" applyFill="1" applyBorder="1" applyAlignment="1">
      <alignment horizontal="center"/>
    </xf>
    <xf numFmtId="166" fontId="70" fillId="39" borderId="0" xfId="33" applyNumberFormat="1" applyFont="1" applyFill="1" applyBorder="1" applyAlignment="1">
      <alignment horizontal="center"/>
    </xf>
    <xf numFmtId="0" fontId="70" fillId="0" borderId="0" xfId="0" applyFont="1" applyAlignment="1" applyProtection="1"/>
    <xf numFmtId="9" fontId="70" fillId="41" borderId="0" xfId="73" applyNumberFormat="1" applyFont="1" applyFill="1" applyBorder="1" applyAlignment="1">
      <alignment horizontal="center"/>
    </xf>
    <xf numFmtId="9" fontId="70" fillId="39" borderId="52" xfId="74" applyFont="1" applyFill="1" applyBorder="1" applyAlignment="1">
      <alignment horizontal="center" vertical="center"/>
    </xf>
    <xf numFmtId="9" fontId="70" fillId="41" borderId="52" xfId="74" applyFont="1" applyFill="1" applyBorder="1" applyAlignment="1">
      <alignment horizontal="center" vertical="center"/>
    </xf>
    <xf numFmtId="9" fontId="70" fillId="42" borderId="52" xfId="74" applyFont="1" applyFill="1" applyBorder="1" applyAlignment="1">
      <alignment horizontal="center" vertical="center"/>
    </xf>
    <xf numFmtId="166" fontId="70" fillId="0" borderId="0" xfId="33" applyNumberFormat="1" applyFont="1" applyFill="1" applyBorder="1" applyAlignment="1" applyProtection="1">
      <alignment horizontal="left"/>
    </xf>
    <xf numFmtId="9" fontId="70" fillId="40" borderId="52" xfId="74" applyFont="1" applyFill="1" applyBorder="1" applyAlignment="1">
      <alignment horizontal="center" vertical="center"/>
    </xf>
    <xf numFmtId="166" fontId="70" fillId="0" borderId="52" xfId="75" applyNumberFormat="1" applyFont="1" applyFill="1" applyBorder="1" applyAlignment="1">
      <alignment horizontal="center" vertical="center"/>
    </xf>
    <xf numFmtId="166" fontId="70" fillId="42" borderId="52" xfId="75" applyNumberFormat="1" applyFont="1" applyFill="1" applyBorder="1" applyAlignment="1">
      <alignment horizontal="center" vertical="center"/>
    </xf>
    <xf numFmtId="170" fontId="72" fillId="43" borderId="52" xfId="0" applyNumberFormat="1" applyFont="1" applyFill="1" applyBorder="1" applyAlignment="1">
      <alignment horizontal="left"/>
    </xf>
    <xf numFmtId="166" fontId="73" fillId="43" borderId="52" xfId="75" applyNumberFormat="1" applyFont="1" applyFill="1" applyBorder="1" applyAlignment="1">
      <alignment horizontal="right"/>
    </xf>
    <xf numFmtId="166" fontId="70" fillId="0" borderId="0" xfId="0" applyNumberFormat="1" applyFont="1" applyAlignment="1" applyProtection="1"/>
    <xf numFmtId="0" fontId="72" fillId="0" borderId="0" xfId="0" applyFont="1" applyAlignment="1" applyProtection="1"/>
    <xf numFmtId="49" fontId="69" fillId="38" borderId="29" xfId="72" applyNumberFormat="1" applyFont="1" applyFill="1" applyBorder="1" applyAlignment="1">
      <alignment horizontal="center" vertical="center" wrapText="1"/>
    </xf>
    <xf numFmtId="49" fontId="71" fillId="38" borderId="31" xfId="72" applyNumberFormat="1" applyFont="1" applyFill="1" applyBorder="1" applyAlignment="1">
      <alignment horizontal="center" vertical="center"/>
    </xf>
    <xf numFmtId="0" fontId="70" fillId="40" borderId="11" xfId="0" applyFont="1" applyFill="1" applyBorder="1" applyAlignment="1">
      <alignment wrapText="1"/>
    </xf>
    <xf numFmtId="9" fontId="70" fillId="40" borderId="11" xfId="74" applyNumberFormat="1" applyFont="1" applyFill="1" applyBorder="1" applyAlignment="1">
      <alignment horizontal="center"/>
    </xf>
    <xf numFmtId="0" fontId="70" fillId="40" borderId="11" xfId="0" applyFont="1" applyFill="1" applyBorder="1" applyAlignment="1">
      <alignment horizontal="center" wrapText="1"/>
    </xf>
    <xf numFmtId="3" fontId="2" fillId="29" borderId="0" xfId="0" applyNumberFormat="1" applyFont="1" applyFill="1" applyBorder="1" applyAlignment="1" applyProtection="1">
      <alignment horizontal="left" indent="1"/>
    </xf>
    <xf numFmtId="0" fontId="2" fillId="29" borderId="15" xfId="0" applyFont="1" applyFill="1" applyBorder="1" applyAlignment="1" applyProtection="1">
      <alignment horizontal="left"/>
    </xf>
    <xf numFmtId="3" fontId="2" fillId="29" borderId="15" xfId="0" applyNumberFormat="1" applyFont="1" applyFill="1" applyBorder="1" applyAlignment="1" applyProtection="1">
      <alignment horizontal="left" wrapText="1"/>
      <protection locked="0"/>
    </xf>
    <xf numFmtId="9" fontId="70" fillId="44" borderId="52" xfId="74" applyFont="1" applyFill="1" applyBorder="1" applyAlignment="1">
      <alignment horizontal="center" vertical="center"/>
    </xf>
    <xf numFmtId="0" fontId="0" fillId="0" borderId="0" xfId="0"/>
    <xf numFmtId="0" fontId="0" fillId="0" borderId="0" xfId="0"/>
    <xf numFmtId="0" fontId="15" fillId="0" borderId="0" xfId="0" applyFont="1" applyAlignment="1">
      <alignment horizontal="left"/>
    </xf>
    <xf numFmtId="168" fontId="4" fillId="0" borderId="0" xfId="0" applyNumberFormat="1" applyFont="1" applyAlignment="1"/>
    <xf numFmtId="168" fontId="4" fillId="0" borderId="0" xfId="0" applyNumberFormat="1" applyFont="1" applyAlignment="1">
      <alignment horizontal="right"/>
    </xf>
    <xf numFmtId="169" fontId="15" fillId="0" borderId="19" xfId="0" applyNumberFormat="1" applyFont="1" applyBorder="1" applyAlignment="1">
      <alignment horizontal="right"/>
    </xf>
    <xf numFmtId="166" fontId="72" fillId="0" borderId="54" xfId="75" applyNumberFormat="1" applyFont="1" applyFill="1" applyBorder="1" applyAlignment="1">
      <alignment horizontal="center" vertical="center"/>
    </xf>
    <xf numFmtId="166" fontId="70" fillId="0" borderId="53" xfId="75" applyNumberFormat="1" applyFont="1" applyFill="1" applyBorder="1" applyAlignment="1">
      <alignment horizontal="center" vertical="center"/>
    </xf>
    <xf numFmtId="44" fontId="0" fillId="0" borderId="0" xfId="0" applyNumberFormat="1"/>
    <xf numFmtId="0" fontId="15" fillId="0" borderId="0" xfId="0" applyFont="1" applyAlignment="1">
      <alignment horizontal="left" wrapText="1"/>
    </xf>
    <xf numFmtId="168" fontId="4" fillId="0" borderId="0" xfId="0" applyNumberFormat="1" applyFont="1" applyAlignment="1">
      <alignment horizontal="right" wrapText="1"/>
    </xf>
    <xf numFmtId="169" fontId="15" fillId="0" borderId="19" xfId="0" applyNumberFormat="1" applyFont="1" applyBorder="1" applyAlignment="1">
      <alignment horizontal="right" wrapText="1"/>
    </xf>
    <xf numFmtId="0" fontId="0" fillId="0" borderId="0" xfId="0" applyFill="1" applyBorder="1"/>
    <xf numFmtId="0" fontId="42" fillId="28" borderId="38" xfId="0" applyFont="1" applyFill="1" applyBorder="1" applyAlignment="1">
      <alignment horizontal="left" wrapText="1"/>
    </xf>
    <xf numFmtId="0" fontId="42" fillId="28" borderId="45" xfId="0" applyFont="1" applyFill="1" applyBorder="1" applyAlignment="1">
      <alignment horizontal="left" wrapText="1"/>
    </xf>
    <xf numFmtId="0" fontId="1" fillId="28" borderId="39" xfId="0" applyFont="1" applyFill="1" applyBorder="1" applyAlignment="1">
      <alignment horizontal="left" vertical="center" wrapText="1"/>
    </xf>
    <xf numFmtId="0" fontId="42" fillId="28" borderId="46" xfId="0" applyFont="1" applyFill="1" applyBorder="1" applyAlignment="1">
      <alignment horizontal="left" vertical="center" wrapText="1"/>
    </xf>
    <xf numFmtId="0" fontId="42" fillId="28" borderId="47" xfId="0" applyFont="1" applyFill="1" applyBorder="1" applyAlignment="1">
      <alignment horizontal="left" vertical="center" wrapText="1"/>
    </xf>
    <xf numFmtId="0" fontId="1" fillId="28" borderId="49" xfId="0" applyFont="1" applyFill="1" applyBorder="1" applyAlignment="1">
      <alignment horizontal="left" vertical="center" wrapText="1"/>
    </xf>
    <xf numFmtId="0" fontId="42" fillId="28" borderId="49" xfId="0" applyFont="1" applyFill="1" applyBorder="1" applyAlignment="1">
      <alignment horizontal="left" vertical="center" wrapText="1"/>
    </xf>
    <xf numFmtId="0" fontId="42" fillId="28" borderId="50" xfId="0" applyFont="1" applyFill="1" applyBorder="1" applyAlignment="1">
      <alignment horizontal="left" vertical="center" wrapText="1"/>
    </xf>
    <xf numFmtId="0" fontId="53" fillId="0" borderId="0" xfId="0" applyFont="1" applyBorder="1" applyAlignment="1">
      <alignment horizontal="center" wrapText="1"/>
    </xf>
    <xf numFmtId="0" fontId="50" fillId="0" borderId="0" xfId="0" applyFont="1" applyBorder="1" applyAlignment="1">
      <alignment horizontal="center"/>
    </xf>
    <xf numFmtId="0" fontId="42" fillId="28" borderId="41" xfId="0" quotePrefix="1" applyFont="1" applyFill="1" applyBorder="1" applyAlignment="1">
      <alignment horizontal="left"/>
    </xf>
    <xf numFmtId="0" fontId="42" fillId="28" borderId="48" xfId="0" quotePrefix="1" applyFont="1" applyFill="1" applyBorder="1" applyAlignment="1">
      <alignment horizontal="left"/>
    </xf>
    <xf numFmtId="0" fontId="42" fillId="28" borderId="38" xfId="0" quotePrefix="1" applyFont="1" applyFill="1" applyBorder="1" applyAlignment="1">
      <alignment horizontal="left"/>
    </xf>
    <xf numFmtId="0" fontId="42" fillId="28" borderId="45" xfId="0" quotePrefix="1" applyFont="1" applyFill="1" applyBorder="1" applyAlignment="1">
      <alignment horizontal="left"/>
    </xf>
    <xf numFmtId="0" fontId="55" fillId="28" borderId="10" xfId="0" applyFont="1" applyFill="1" applyBorder="1" applyAlignment="1">
      <alignment horizontal="center" wrapText="1"/>
    </xf>
    <xf numFmtId="41" fontId="61" fillId="35" borderId="0" xfId="0" applyNumberFormat="1" applyFont="1" applyFill="1" applyBorder="1" applyAlignment="1" applyProtection="1">
      <alignment horizontal="center"/>
    </xf>
    <xf numFmtId="0" fontId="63" fillId="29" borderId="25" xfId="0" applyFont="1" applyFill="1" applyBorder="1" applyAlignment="1" applyProtection="1">
      <alignment horizontal="center"/>
    </xf>
    <xf numFmtId="0" fontId="47" fillId="34" borderId="29" xfId="0" applyFont="1" applyFill="1" applyBorder="1" applyAlignment="1" applyProtection="1">
      <alignment horizontal="center"/>
    </xf>
    <xf numFmtId="0" fontId="47" fillId="34" borderId="30" xfId="0" applyFont="1" applyFill="1" applyBorder="1" applyAlignment="1" applyProtection="1">
      <alignment horizontal="center"/>
    </xf>
    <xf numFmtId="0" fontId="47" fillId="34" borderId="31" xfId="0" applyFont="1" applyFill="1" applyBorder="1" applyAlignment="1" applyProtection="1">
      <alignment horizontal="center"/>
    </xf>
    <xf numFmtId="0" fontId="47" fillId="34" borderId="32" xfId="0" applyFont="1" applyFill="1" applyBorder="1" applyAlignment="1" applyProtection="1">
      <alignment horizontal="center"/>
    </xf>
    <xf numFmtId="0" fontId="47" fillId="34" borderId="33" xfId="0" applyFont="1" applyFill="1" applyBorder="1" applyAlignment="1" applyProtection="1">
      <alignment horizontal="center"/>
    </xf>
    <xf numFmtId="0" fontId="47" fillId="34" borderId="34" xfId="0" applyFont="1" applyFill="1" applyBorder="1" applyAlignment="1" applyProtection="1">
      <alignment horizontal="center"/>
    </xf>
    <xf numFmtId="0" fontId="48" fillId="35" borderId="23" xfId="0" applyFont="1" applyFill="1" applyBorder="1" applyAlignment="1" applyProtection="1">
      <alignment vertical="top" wrapText="1"/>
    </xf>
    <xf numFmtId="0" fontId="3" fillId="35" borderId="0" xfId="0" applyFont="1" applyFill="1" applyBorder="1" applyAlignment="1" applyProtection="1">
      <alignment vertical="top" wrapText="1"/>
    </xf>
    <xf numFmtId="0" fontId="3" fillId="35" borderId="23" xfId="0" applyFont="1" applyFill="1" applyBorder="1" applyAlignment="1" applyProtection="1">
      <alignment vertical="top" wrapText="1"/>
    </xf>
    <xf numFmtId="0" fontId="48" fillId="29" borderId="0" xfId="0" applyFont="1" applyFill="1" applyBorder="1" applyAlignment="1" applyProtection="1">
      <alignment horizontal="center" wrapText="1"/>
    </xf>
    <xf numFmtId="0" fontId="64" fillId="0" borderId="0" xfId="0" applyFont="1" applyAlignment="1">
      <alignment horizontal="center"/>
    </xf>
    <xf numFmtId="0" fontId="0" fillId="0" borderId="0" xfId="0"/>
    <xf numFmtId="0" fontId="65" fillId="0" borderId="0" xfId="0" applyFont="1" applyAlignment="1">
      <alignment horizontal="center"/>
    </xf>
    <xf numFmtId="0" fontId="68" fillId="0" borderId="0" xfId="0" applyFont="1" applyAlignment="1">
      <alignment horizontal="center"/>
    </xf>
    <xf numFmtId="0" fontId="70" fillId="39" borderId="0" xfId="0" applyFont="1" applyFill="1" applyBorder="1" applyAlignment="1">
      <alignment horizontal="center" wrapText="1"/>
    </xf>
    <xf numFmtId="0" fontId="70" fillId="41" borderId="0" xfId="0" applyFont="1" applyFill="1" applyBorder="1" applyAlignment="1">
      <alignment horizontal="center"/>
    </xf>
  </cellXfs>
  <cellStyles count="7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cellStyle name="ColumnAttributePrompt" xfId="29"/>
    <cellStyle name="ColumnAttributeValue" xfId="30"/>
    <cellStyle name="ColumnHeadingPrompt" xfId="31"/>
    <cellStyle name="ColumnHeadingValue" xfId="32"/>
    <cellStyle name="Comma" xfId="33" builtinId="3"/>
    <cellStyle name="Comma 2" xfId="75"/>
    <cellStyle name="Currency 2" xfId="72"/>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Input" xfId="40" builtinId="20" customBuiltin="1"/>
    <cellStyle name="LineItemPrompt" xfId="41"/>
    <cellStyle name="LineItemValue" xfId="42"/>
    <cellStyle name="Linked Cell" xfId="43" builtinId="24" customBuiltin="1"/>
    <cellStyle name="Neutral" xfId="44" builtinId="28" customBuiltin="1"/>
    <cellStyle name="Normal" xfId="0" builtinId="0"/>
    <cellStyle name="Normal 2" xfId="45"/>
    <cellStyle name="Note" xfId="46" builtinId="10" customBuiltin="1"/>
    <cellStyle name="Output" xfId="47" builtinId="21" customBuiltin="1"/>
    <cellStyle name="OUTPUT AMOUNTS" xfId="48"/>
    <cellStyle name="OUTPUT COLUMN HEADINGS" xfId="49"/>
    <cellStyle name="OUTPUT LINE ITEMS" xfId="50"/>
    <cellStyle name="OUTPUT REPORT HEADING" xfId="51"/>
    <cellStyle name="OUTPUT REPORT TITLE" xfId="52"/>
    <cellStyle name="Percent 2" xfId="73"/>
    <cellStyle name="Percent 2 7 2" xfId="74"/>
    <cellStyle name="ReportTitlePrompt" xfId="53"/>
    <cellStyle name="ReportTitleValue" xfId="54"/>
    <cellStyle name="RowAcctAbovePrompt" xfId="55"/>
    <cellStyle name="RowAcctSOBAbovePrompt" xfId="56"/>
    <cellStyle name="RowAcctSOBValue" xfId="57"/>
    <cellStyle name="RowAcctValue" xfId="58"/>
    <cellStyle name="RowAttrAbovePrompt" xfId="59"/>
    <cellStyle name="RowAttrValue" xfId="60"/>
    <cellStyle name="RowColSetAbovePrompt" xfId="61"/>
    <cellStyle name="RowColSetLeftPrompt" xfId="62"/>
    <cellStyle name="RowColSetValue" xfId="63"/>
    <cellStyle name="RowLeftPrompt" xfId="64"/>
    <cellStyle name="SampleUsingFormatMask" xfId="65"/>
    <cellStyle name="SampleWithNoFormatMask" xfId="66"/>
    <cellStyle name="STYLE1" xfId="67"/>
    <cellStyle name="Title" xfId="68" builtinId="15" customBuiltin="1"/>
    <cellStyle name="Total" xfId="69" builtinId="25" customBuiltin="1"/>
    <cellStyle name="UploadThisRowValue" xfId="70"/>
    <cellStyle name="Warning Text" xfId="7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B1:K16"/>
  <sheetViews>
    <sheetView topLeftCell="A4" workbookViewId="0">
      <selection activeCell="B6" sqref="B6:J6"/>
    </sheetView>
  </sheetViews>
  <sheetFormatPr defaultRowHeight="14.25" x14ac:dyDescent="0.2"/>
  <cols>
    <col min="1" max="1" width="9" style="5"/>
    <col min="2" max="2" width="4" style="5" customWidth="1"/>
    <col min="3" max="3" width="9" style="5"/>
    <col min="4" max="4" width="11.125" style="5" customWidth="1"/>
    <col min="5" max="5" width="9.5" style="5" customWidth="1"/>
    <col min="6" max="6" width="11.125" style="5" customWidth="1"/>
    <col min="7" max="7" width="9.375" style="5" customWidth="1"/>
    <col min="8" max="8" width="11.125" style="5" customWidth="1"/>
    <col min="9" max="9" width="9.5" style="5" customWidth="1"/>
    <col min="10" max="10" width="10.25" style="5" customWidth="1"/>
    <col min="11" max="16384" width="9" style="5"/>
  </cols>
  <sheetData>
    <row r="1" spans="2:11" ht="30" x14ac:dyDescent="0.4">
      <c r="B1" s="190" t="s">
        <v>128</v>
      </c>
      <c r="C1" s="190"/>
      <c r="D1" s="190"/>
      <c r="E1" s="190"/>
      <c r="F1" s="190"/>
      <c r="G1" s="190"/>
      <c r="H1" s="190"/>
      <c r="I1" s="190"/>
      <c r="J1" s="190"/>
    </row>
    <row r="2" spans="2:11" ht="5.0999999999999996" customHeight="1" x14ac:dyDescent="0.4">
      <c r="C2" s="6"/>
      <c r="E2" s="7"/>
      <c r="F2" s="7"/>
      <c r="G2" s="7"/>
      <c r="H2" s="7"/>
      <c r="I2" s="7"/>
      <c r="J2" s="7"/>
    </row>
    <row r="3" spans="2:11" ht="36" customHeight="1" x14ac:dyDescent="0.25">
      <c r="B3" s="189" t="s">
        <v>127</v>
      </c>
      <c r="C3" s="189"/>
      <c r="D3" s="189"/>
      <c r="E3" s="189"/>
      <c r="F3" s="189"/>
      <c r="G3" s="189"/>
      <c r="H3" s="189"/>
      <c r="I3" s="189"/>
      <c r="J3" s="189"/>
      <c r="K3" s="8"/>
    </row>
    <row r="4" spans="2:11" x14ac:dyDescent="0.2">
      <c r="D4" s="7"/>
      <c r="E4" s="7"/>
      <c r="G4" s="7"/>
      <c r="H4" s="7"/>
    </row>
    <row r="5" spans="2:11" ht="20.100000000000001" customHeight="1" x14ac:dyDescent="0.3">
      <c r="B5" s="133"/>
      <c r="C5" s="133"/>
      <c r="D5" s="133"/>
      <c r="E5" s="133"/>
      <c r="F5" s="133"/>
      <c r="G5" s="133"/>
      <c r="H5" s="133"/>
      <c r="I5" s="133"/>
      <c r="J5" s="133"/>
    </row>
    <row r="6" spans="2:11" ht="20.100000000000001" customHeight="1" thickBot="1" x14ac:dyDescent="0.35">
      <c r="B6" s="195" t="s">
        <v>338</v>
      </c>
      <c r="C6" s="195"/>
      <c r="D6" s="195"/>
      <c r="E6" s="195"/>
      <c r="F6" s="195"/>
      <c r="G6" s="195"/>
      <c r="H6" s="195"/>
      <c r="I6" s="195"/>
      <c r="J6" s="195"/>
    </row>
    <row r="7" spans="2:11" ht="15" thickTop="1" x14ac:dyDescent="0.2"/>
    <row r="8" spans="2:11" ht="16.5" thickBot="1" x14ac:dyDescent="0.3">
      <c r="B8" s="2" t="s">
        <v>120</v>
      </c>
      <c r="C8" s="9"/>
      <c r="D8" s="3"/>
      <c r="E8" s="3"/>
      <c r="F8" s="3"/>
      <c r="G8" s="3"/>
      <c r="H8" s="3"/>
      <c r="I8" s="1"/>
      <c r="J8" s="9"/>
    </row>
    <row r="9" spans="2:11" ht="15.75" thickTop="1" thickBot="1" x14ac:dyDescent="0.25"/>
    <row r="10" spans="2:11" ht="15" x14ac:dyDescent="0.25">
      <c r="B10" s="10">
        <v>1</v>
      </c>
      <c r="C10" s="191" t="s">
        <v>134</v>
      </c>
      <c r="D10" s="191"/>
      <c r="E10" s="191"/>
      <c r="F10" s="191"/>
      <c r="G10" s="191"/>
      <c r="H10" s="191"/>
      <c r="I10" s="191"/>
      <c r="J10" s="192"/>
    </row>
    <row r="11" spans="2:11" ht="15" x14ac:dyDescent="0.25">
      <c r="B11" s="11">
        <v>2</v>
      </c>
      <c r="C11" s="193" t="s">
        <v>129</v>
      </c>
      <c r="D11" s="193"/>
      <c r="E11" s="193"/>
      <c r="F11" s="193"/>
      <c r="G11" s="193"/>
      <c r="H11" s="193"/>
      <c r="I11" s="193"/>
      <c r="J11" s="194"/>
    </row>
    <row r="12" spans="2:11" ht="28.5" customHeight="1" x14ac:dyDescent="0.25">
      <c r="B12" s="11">
        <v>3</v>
      </c>
      <c r="C12" s="181" t="s">
        <v>130</v>
      </c>
      <c r="D12" s="181"/>
      <c r="E12" s="181"/>
      <c r="F12" s="181"/>
      <c r="G12" s="181"/>
      <c r="H12" s="181"/>
      <c r="I12" s="181"/>
      <c r="J12" s="182"/>
    </row>
    <row r="13" spans="2:11" ht="57" customHeight="1" x14ac:dyDescent="0.25">
      <c r="B13" s="11">
        <v>4</v>
      </c>
      <c r="C13" s="183" t="s">
        <v>137</v>
      </c>
      <c r="D13" s="184"/>
      <c r="E13" s="184"/>
      <c r="F13" s="184"/>
      <c r="G13" s="184"/>
      <c r="H13" s="184"/>
      <c r="I13" s="184"/>
      <c r="J13" s="185"/>
    </row>
    <row r="14" spans="2:11" ht="69" customHeight="1" thickBot="1" x14ac:dyDescent="0.3">
      <c r="B14" s="12">
        <v>5</v>
      </c>
      <c r="C14" s="186" t="s">
        <v>126</v>
      </c>
      <c r="D14" s="187"/>
      <c r="E14" s="187"/>
      <c r="F14" s="187"/>
      <c r="G14" s="187"/>
      <c r="H14" s="187"/>
      <c r="I14" s="187"/>
      <c r="J14" s="188"/>
    </row>
    <row r="16" spans="2:11" ht="15" x14ac:dyDescent="0.25">
      <c r="B16" s="4"/>
    </row>
  </sheetData>
  <mergeCells count="8">
    <mergeCell ref="C12:J12"/>
    <mergeCell ref="C13:J13"/>
    <mergeCell ref="C14:J14"/>
    <mergeCell ref="B3:J3"/>
    <mergeCell ref="B1:J1"/>
    <mergeCell ref="C10:J10"/>
    <mergeCell ref="C11:J11"/>
    <mergeCell ref="B6:J6"/>
  </mergeCells>
  <phoneticPr fontId="2" type="noConversion"/>
  <pageMargins left="0.75" right="0.75" top="0.54" bottom="1"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8"/>
    <pageSetUpPr fitToPage="1"/>
  </sheetPr>
  <dimension ref="B2:U170"/>
  <sheetViews>
    <sheetView tabSelected="1" zoomScale="115" zoomScaleNormal="115" workbookViewId="0">
      <pane ySplit="14" topLeftCell="A15" activePane="bottomLeft" state="frozen"/>
      <selection pane="bottomLeft" activeCell="N80" sqref="N80"/>
    </sheetView>
  </sheetViews>
  <sheetFormatPr defaultRowHeight="11.25" x14ac:dyDescent="0.2"/>
  <cols>
    <col min="1" max="1" width="0.5" style="30" customWidth="1"/>
    <col min="2" max="4" width="2" style="30" customWidth="1"/>
    <col min="5" max="5" width="38.25" style="16" customWidth="1"/>
    <col min="6" max="6" width="2.375" style="17" customWidth="1"/>
    <col min="7" max="7" width="10.75" style="17" customWidth="1"/>
    <col min="8" max="8" width="2.375" style="43" customWidth="1"/>
    <col min="9" max="13" width="12.625" style="43" customWidth="1"/>
    <col min="14" max="14" width="12.625" style="30" customWidth="1"/>
    <col min="15" max="15" width="50.5" style="30" customWidth="1"/>
    <col min="16" max="16" width="9" style="30"/>
    <col min="17" max="21" width="0" style="30" hidden="1" customWidth="1"/>
    <col min="22" max="16384" width="9" style="30"/>
  </cols>
  <sheetData>
    <row r="2" spans="2:15" s="14" customFormat="1" ht="16.5" thickBot="1" x14ac:dyDescent="0.3">
      <c r="B2" s="197" t="s">
        <v>138</v>
      </c>
      <c r="C2" s="197"/>
      <c r="D2" s="197"/>
      <c r="E2" s="197"/>
      <c r="F2" s="197"/>
      <c r="G2" s="197"/>
      <c r="H2" s="197"/>
      <c r="I2" s="197"/>
      <c r="J2" s="197"/>
      <c r="K2" s="197"/>
      <c r="L2" s="197"/>
      <c r="M2" s="197"/>
      <c r="N2" s="197"/>
      <c r="O2" s="13"/>
    </row>
    <row r="3" spans="2:15" s="14" customFormat="1" ht="16.5" thickBot="1" x14ac:dyDescent="0.3">
      <c r="B3" s="198" t="s">
        <v>335</v>
      </c>
      <c r="C3" s="199"/>
      <c r="D3" s="199"/>
      <c r="E3" s="199"/>
      <c r="F3" s="199"/>
      <c r="G3" s="199"/>
      <c r="H3" s="199"/>
      <c r="I3" s="199"/>
      <c r="J3" s="199"/>
      <c r="K3" s="199"/>
      <c r="L3" s="199"/>
      <c r="M3" s="199"/>
      <c r="N3" s="200"/>
      <c r="O3" s="59" t="s">
        <v>121</v>
      </c>
    </row>
    <row r="4" spans="2:15" s="14" customFormat="1" ht="23.25" thickBot="1" x14ac:dyDescent="0.3">
      <c r="B4" s="201" t="s">
        <v>136</v>
      </c>
      <c r="C4" s="202"/>
      <c r="D4" s="202"/>
      <c r="E4" s="202"/>
      <c r="F4" s="202"/>
      <c r="G4" s="202"/>
      <c r="H4" s="202"/>
      <c r="I4" s="202"/>
      <c r="J4" s="202"/>
      <c r="K4" s="202"/>
      <c r="L4" s="202"/>
      <c r="M4" s="202"/>
      <c r="N4" s="203"/>
      <c r="O4" s="105" t="s">
        <v>122</v>
      </c>
    </row>
    <row r="5" spans="2:15" s="14" customFormat="1" x14ac:dyDescent="0.2">
      <c r="B5" s="106"/>
      <c r="C5" s="16"/>
      <c r="D5" s="16"/>
      <c r="E5" s="207" t="s">
        <v>135</v>
      </c>
      <c r="F5" s="207"/>
      <c r="G5" s="207"/>
      <c r="H5" s="207"/>
      <c r="I5" s="207"/>
      <c r="J5" s="207"/>
      <c r="K5" s="207"/>
      <c r="L5" s="207"/>
      <c r="M5" s="207"/>
      <c r="N5" s="207"/>
      <c r="O5" s="60"/>
    </row>
    <row r="6" spans="2:15" s="14" customFormat="1" ht="23.25" thickBot="1" x14ac:dyDescent="0.25">
      <c r="B6" s="106"/>
      <c r="C6" s="16"/>
      <c r="D6" s="16"/>
      <c r="E6" s="99"/>
      <c r="F6" s="99"/>
      <c r="G6" s="99"/>
      <c r="H6" s="99"/>
      <c r="I6" s="15" t="s">
        <v>112</v>
      </c>
      <c r="J6" s="15" t="s">
        <v>113</v>
      </c>
      <c r="K6" s="15" t="s">
        <v>29</v>
      </c>
      <c r="L6" s="15" t="s">
        <v>114</v>
      </c>
      <c r="M6" s="15" t="s">
        <v>115</v>
      </c>
      <c r="N6" s="15" t="s">
        <v>109</v>
      </c>
      <c r="O6" s="60"/>
    </row>
    <row r="7" spans="2:15" s="14" customFormat="1" x14ac:dyDescent="0.2">
      <c r="B7" s="107"/>
      <c r="C7" s="13"/>
      <c r="D7" s="13"/>
      <c r="F7" s="17"/>
      <c r="G7" s="18" t="s">
        <v>0</v>
      </c>
      <c r="H7" s="19"/>
      <c r="I7" s="49">
        <f t="shared" ref="I7:N7" si="0">I54</f>
        <v>6121112.6051810114</v>
      </c>
      <c r="J7" s="50">
        <f t="shared" si="0"/>
        <v>875110.14072245348</v>
      </c>
      <c r="K7" s="50">
        <f t="shared" si="0"/>
        <v>0</v>
      </c>
      <c r="L7" s="50">
        <f t="shared" si="0"/>
        <v>93.196341678554248</v>
      </c>
      <c r="M7" s="50">
        <f t="shared" si="0"/>
        <v>594545.07775485562</v>
      </c>
      <c r="N7" s="56">
        <f t="shared" si="0"/>
        <v>7590861.0199999996</v>
      </c>
      <c r="O7" s="80"/>
    </row>
    <row r="8" spans="2:15" s="14" customFormat="1" x14ac:dyDescent="0.2">
      <c r="B8" s="107"/>
      <c r="C8" s="13"/>
      <c r="D8" s="13"/>
      <c r="F8" s="17"/>
      <c r="G8" s="18" t="s">
        <v>1</v>
      </c>
      <c r="H8" s="19"/>
      <c r="I8" s="51">
        <f t="shared" ref="I8:N8" si="1">I144</f>
        <v>5861445.4042515345</v>
      </c>
      <c r="J8" s="46">
        <f t="shared" si="1"/>
        <v>679387.04555550893</v>
      </c>
      <c r="K8" s="46">
        <f t="shared" si="1"/>
        <v>0</v>
      </c>
      <c r="L8" s="46">
        <f t="shared" si="1"/>
        <v>14346.249312722559</v>
      </c>
      <c r="M8" s="46">
        <f t="shared" si="1"/>
        <v>935682.32088023331</v>
      </c>
      <c r="N8" s="47">
        <f t="shared" si="1"/>
        <v>7490861.0200000014</v>
      </c>
      <c r="O8" s="61"/>
    </row>
    <row r="9" spans="2:15" s="14" customFormat="1" x14ac:dyDescent="0.2">
      <c r="B9" s="107"/>
      <c r="C9" s="13"/>
      <c r="D9" s="13"/>
      <c r="F9" s="17"/>
      <c r="G9" s="18" t="s">
        <v>2</v>
      </c>
      <c r="H9" s="19"/>
      <c r="I9" s="51">
        <f t="shared" ref="I9:N9" si="2">I7-I8</f>
        <v>259667.20092947688</v>
      </c>
      <c r="J9" s="46">
        <f t="shared" si="2"/>
        <v>195723.09516694455</v>
      </c>
      <c r="K9" s="46">
        <f t="shared" si="2"/>
        <v>0</v>
      </c>
      <c r="L9" s="46">
        <f t="shared" si="2"/>
        <v>-14253.052971044004</v>
      </c>
      <c r="M9" s="46">
        <f t="shared" si="2"/>
        <v>-341137.24312537769</v>
      </c>
      <c r="N9" s="47">
        <f t="shared" si="2"/>
        <v>99999.999999998137</v>
      </c>
      <c r="O9" s="61"/>
    </row>
    <row r="10" spans="2:15" s="14" customFormat="1" x14ac:dyDescent="0.2">
      <c r="B10" s="107"/>
      <c r="C10" s="13"/>
      <c r="D10" s="13"/>
      <c r="F10" s="17"/>
      <c r="G10" s="18" t="s">
        <v>3</v>
      </c>
      <c r="H10" s="19"/>
      <c r="I10" s="51">
        <f>353+33</f>
        <v>386</v>
      </c>
      <c r="J10" s="46">
        <v>38</v>
      </c>
      <c r="K10" s="48"/>
      <c r="L10" s="48"/>
      <c r="M10" s="48"/>
      <c r="N10" s="47">
        <f>N155</f>
        <v>0</v>
      </c>
      <c r="O10" s="165" t="s">
        <v>334</v>
      </c>
    </row>
    <row r="11" spans="2:15" s="14" customFormat="1" ht="12" thickBot="1" x14ac:dyDescent="0.25">
      <c r="B11" s="107"/>
      <c r="C11" s="13"/>
      <c r="D11" s="13"/>
      <c r="F11" s="17"/>
      <c r="G11" s="18" t="s">
        <v>4</v>
      </c>
      <c r="H11" s="19"/>
      <c r="I11" s="52">
        <v>353</v>
      </c>
      <c r="J11" s="117">
        <v>0</v>
      </c>
      <c r="K11" s="119"/>
      <c r="L11" s="119"/>
      <c r="M11" s="119"/>
      <c r="N11" s="118">
        <f>I11+J11</f>
        <v>353</v>
      </c>
      <c r="O11" s="81"/>
    </row>
    <row r="12" spans="2:15" s="14" customFormat="1" ht="7.9" customHeight="1" x14ac:dyDescent="0.2">
      <c r="B12" s="106"/>
      <c r="C12" s="16"/>
      <c r="D12" s="16"/>
      <c r="F12" s="17"/>
      <c r="G12" s="17"/>
      <c r="H12" s="20"/>
      <c r="I12" s="20"/>
      <c r="J12" s="20"/>
      <c r="K12" s="20"/>
      <c r="L12" s="20"/>
      <c r="M12" s="20"/>
      <c r="N12" s="20"/>
      <c r="O12" s="62"/>
    </row>
    <row r="13" spans="2:15" s="14" customFormat="1" ht="12.75" customHeight="1" x14ac:dyDescent="0.2">
      <c r="B13" s="204"/>
      <c r="C13" s="205"/>
      <c r="D13" s="205"/>
      <c r="E13" s="205"/>
      <c r="F13" s="73"/>
      <c r="G13" s="73"/>
      <c r="H13" s="74"/>
      <c r="I13" s="196" t="s">
        <v>110</v>
      </c>
      <c r="J13" s="196"/>
      <c r="K13" s="196"/>
      <c r="L13" s="196" t="s">
        <v>111</v>
      </c>
      <c r="M13" s="196"/>
      <c r="N13" s="69"/>
      <c r="O13" s="70"/>
    </row>
    <row r="14" spans="2:15" s="23" customFormat="1" ht="29.25" customHeight="1" x14ac:dyDescent="0.2">
      <c r="B14" s="206"/>
      <c r="C14" s="205"/>
      <c r="D14" s="205"/>
      <c r="E14" s="205"/>
      <c r="F14" s="73"/>
      <c r="G14" s="73"/>
      <c r="H14" s="75"/>
      <c r="I14" s="71" t="s">
        <v>112</v>
      </c>
      <c r="J14" s="71" t="s">
        <v>113</v>
      </c>
      <c r="K14" s="71" t="s">
        <v>29</v>
      </c>
      <c r="L14" s="71" t="s">
        <v>114</v>
      </c>
      <c r="M14" s="71" t="s">
        <v>115</v>
      </c>
      <c r="N14" s="71" t="s">
        <v>109</v>
      </c>
      <c r="O14" s="72"/>
    </row>
    <row r="15" spans="2:15" s="23" customFormat="1" ht="7.5" customHeight="1" x14ac:dyDescent="0.2">
      <c r="B15" s="106"/>
      <c r="C15" s="16"/>
      <c r="D15" s="16"/>
      <c r="E15" s="24"/>
      <c r="F15" s="25"/>
      <c r="G15" s="25"/>
      <c r="H15" s="21"/>
      <c r="I15" s="21"/>
      <c r="J15" s="21"/>
      <c r="K15" s="21"/>
      <c r="L15" s="21"/>
      <c r="M15" s="21"/>
      <c r="N15" s="21"/>
      <c r="O15" s="63"/>
    </row>
    <row r="16" spans="2:15" s="27" customFormat="1" x14ac:dyDescent="0.2">
      <c r="B16" s="108"/>
      <c r="E16" s="26" t="s">
        <v>5</v>
      </c>
      <c r="F16" s="28"/>
      <c r="G16" s="28"/>
      <c r="H16" s="29"/>
      <c r="I16" s="29"/>
      <c r="J16" s="29"/>
      <c r="K16" s="29"/>
      <c r="L16" s="29"/>
      <c r="M16" s="29"/>
      <c r="N16" s="29"/>
      <c r="O16" s="64"/>
    </row>
    <row r="17" spans="2:21" s="27" customFormat="1" ht="12" customHeight="1" x14ac:dyDescent="0.2">
      <c r="B17" s="109"/>
      <c r="E17" s="89" t="s">
        <v>6</v>
      </c>
      <c r="F17" s="28"/>
      <c r="G17" s="28"/>
      <c r="H17" s="29"/>
      <c r="I17" s="29"/>
      <c r="J17" s="29"/>
      <c r="K17" s="29"/>
      <c r="L17" s="29"/>
      <c r="M17" s="29"/>
      <c r="N17" s="29"/>
      <c r="O17" s="65"/>
    </row>
    <row r="18" spans="2:21" s="27" customFormat="1" ht="12" customHeight="1" x14ac:dyDescent="0.2">
      <c r="B18" s="110"/>
      <c r="E18" s="87" t="s">
        <v>7</v>
      </c>
      <c r="F18" s="28"/>
      <c r="G18" s="26" t="s">
        <v>125</v>
      </c>
      <c r="H18" s="29"/>
      <c r="I18" s="29"/>
      <c r="J18" s="29"/>
      <c r="K18" s="29"/>
      <c r="L18" s="29"/>
      <c r="M18" s="29"/>
      <c r="N18" s="29"/>
      <c r="O18" s="64"/>
    </row>
    <row r="19" spans="2:21" s="27" customFormat="1" ht="12" customHeight="1" x14ac:dyDescent="0.2">
      <c r="B19" s="110"/>
      <c r="D19" s="30"/>
      <c r="E19" s="100" t="s">
        <v>116</v>
      </c>
      <c r="F19" s="32"/>
      <c r="G19" s="79">
        <v>15307</v>
      </c>
      <c r="H19" s="29"/>
      <c r="I19" s="53">
        <v>4813644.0711851167</v>
      </c>
      <c r="J19" s="53">
        <v>0</v>
      </c>
      <c r="K19" s="53">
        <v>0</v>
      </c>
      <c r="L19" s="53">
        <v>0</v>
      </c>
      <c r="M19" s="53">
        <v>589726.94881488255</v>
      </c>
      <c r="N19" s="57">
        <f>SUM(I19:M19)</f>
        <v>5403371.0199999996</v>
      </c>
      <c r="O19" s="76"/>
    </row>
    <row r="20" spans="2:21" s="27" customFormat="1" ht="12" customHeight="1" x14ac:dyDescent="0.2">
      <c r="B20" s="110"/>
      <c r="D20" s="30"/>
      <c r="E20" s="101" t="s">
        <v>8</v>
      </c>
      <c r="F20" s="32"/>
      <c r="G20" s="79"/>
      <c r="H20" s="29"/>
      <c r="I20" s="53">
        <v>0</v>
      </c>
      <c r="J20" s="53">
        <v>0</v>
      </c>
      <c r="K20" s="53">
        <v>0</v>
      </c>
      <c r="L20" s="53">
        <v>0</v>
      </c>
      <c r="M20" s="53">
        <v>0</v>
      </c>
      <c r="N20" s="57">
        <f t="shared" ref="N20:N30" si="3">SUM(I20:M20)</f>
        <v>0</v>
      </c>
      <c r="O20" s="76"/>
    </row>
    <row r="21" spans="2:21" s="27" customFormat="1" ht="12" customHeight="1" x14ac:dyDescent="0.2">
      <c r="B21" s="110"/>
      <c r="D21" s="30"/>
      <c r="E21" s="101" t="s">
        <v>9</v>
      </c>
      <c r="F21" s="32"/>
      <c r="G21" s="79"/>
      <c r="H21" s="29"/>
      <c r="I21" s="53">
        <v>0</v>
      </c>
      <c r="J21" s="53">
        <v>0</v>
      </c>
      <c r="K21" s="53">
        <v>0</v>
      </c>
      <c r="L21" s="53">
        <v>0</v>
      </c>
      <c r="M21" s="53">
        <v>0</v>
      </c>
      <c r="N21" s="57">
        <f t="shared" si="3"/>
        <v>0</v>
      </c>
      <c r="O21" s="76"/>
    </row>
    <row r="22" spans="2:21" s="27" customFormat="1" ht="12" customHeight="1" x14ac:dyDescent="0.2">
      <c r="B22" s="110"/>
      <c r="D22" s="30"/>
      <c r="E22" s="101" t="s">
        <v>10</v>
      </c>
      <c r="F22" s="32"/>
      <c r="G22" s="79"/>
      <c r="H22" s="29"/>
      <c r="I22" s="53">
        <v>0</v>
      </c>
      <c r="J22" s="53">
        <v>0</v>
      </c>
      <c r="K22" s="53">
        <v>0</v>
      </c>
      <c r="L22" s="53">
        <v>0</v>
      </c>
      <c r="M22" s="53">
        <v>0</v>
      </c>
      <c r="N22" s="57">
        <f t="shared" si="3"/>
        <v>0</v>
      </c>
      <c r="O22" s="76"/>
    </row>
    <row r="23" spans="2:21" s="27" customFormat="1" ht="12" customHeight="1" x14ac:dyDescent="0.2">
      <c r="B23" s="110"/>
      <c r="D23" s="30"/>
      <c r="E23" s="101" t="s">
        <v>11</v>
      </c>
      <c r="F23" s="32"/>
      <c r="G23" s="79"/>
      <c r="H23" s="29"/>
      <c r="I23" s="53">
        <v>0</v>
      </c>
      <c r="J23" s="53">
        <v>0</v>
      </c>
      <c r="K23" s="53">
        <v>0</v>
      </c>
      <c r="L23" s="53">
        <v>0</v>
      </c>
      <c r="M23" s="53">
        <v>0</v>
      </c>
      <c r="N23" s="57">
        <f t="shared" si="3"/>
        <v>0</v>
      </c>
      <c r="O23" s="76"/>
    </row>
    <row r="24" spans="2:21" s="27" customFormat="1" ht="12" customHeight="1" x14ac:dyDescent="0.2">
      <c r="B24" s="110"/>
      <c r="D24" s="30"/>
      <c r="E24" s="30"/>
      <c r="F24" s="32"/>
      <c r="G24" s="29"/>
      <c r="H24" s="29"/>
      <c r="I24" s="54">
        <f t="shared" ref="I24:N24" si="4">SUM(I19:I23)</f>
        <v>4813644.0711851167</v>
      </c>
      <c r="J24" s="54">
        <f t="shared" si="4"/>
        <v>0</v>
      </c>
      <c r="K24" s="54">
        <f t="shared" si="4"/>
        <v>0</v>
      </c>
      <c r="L24" s="54">
        <f t="shared" si="4"/>
        <v>0</v>
      </c>
      <c r="M24" s="54">
        <f t="shared" si="4"/>
        <v>589726.94881488255</v>
      </c>
      <c r="N24" s="58">
        <f t="shared" si="4"/>
        <v>5403371.0199999996</v>
      </c>
      <c r="O24" s="77"/>
      <c r="Q24" s="27">
        <f>IF(G19&gt;0,1,IF(G19=0,0,0))</f>
        <v>1</v>
      </c>
      <c r="R24" s="27">
        <f>IF(G20=0,0,IF(G21=0,1,IF(G22=0,2,IF(G23=0,3,IF(#REF!=0,4,IF(#REF!=0,5,IF(#REF!=0,6,6)))))))</f>
        <v>0</v>
      </c>
      <c r="S24" s="27" t="e">
        <f>IF(#REF!=0,0,IF(#REF!=0,1,IF(#REF!=0,2,IF(#REF!=0,3,IF(#REF!=0,4,IF(#REF!=0,5,IF(#REF!=0,6,6)))))))</f>
        <v>#REF!</v>
      </c>
      <c r="T24" s="27" t="e">
        <f>IF(#REF!=0,0,IF(#REF!=0,1,IF(#REF!=0,2,IF(#REF!&gt;0,3,0))))</f>
        <v>#REF!</v>
      </c>
      <c r="U24" s="34" t="e">
        <f>SUM(Q24:T24)</f>
        <v>#REF!</v>
      </c>
    </row>
    <row r="25" spans="2:21" s="27" customFormat="1" ht="12" customHeight="1" x14ac:dyDescent="0.2">
      <c r="B25" s="110"/>
      <c r="D25" s="30"/>
      <c r="E25" s="30"/>
      <c r="F25" s="32"/>
      <c r="G25" s="29"/>
      <c r="H25" s="29"/>
      <c r="I25" s="29"/>
      <c r="J25" s="29"/>
      <c r="K25" s="29"/>
      <c r="L25" s="29"/>
      <c r="M25" s="29"/>
      <c r="N25" s="29"/>
      <c r="O25" s="64"/>
      <c r="U25" s="34"/>
    </row>
    <row r="26" spans="2:21" s="27" customFormat="1" ht="12" customHeight="1" x14ac:dyDescent="0.2">
      <c r="B26" s="110"/>
      <c r="D26" s="30"/>
      <c r="E26" s="87" t="s">
        <v>12</v>
      </c>
      <c r="F26" s="28"/>
      <c r="G26" s="28"/>
      <c r="H26" s="29"/>
      <c r="I26" s="53">
        <v>0</v>
      </c>
      <c r="J26" s="53">
        <v>697885</v>
      </c>
      <c r="K26" s="53">
        <v>0</v>
      </c>
      <c r="L26" s="53">
        <v>0</v>
      </c>
      <c r="M26" s="53">
        <v>0</v>
      </c>
      <c r="N26" s="57">
        <f t="shared" si="3"/>
        <v>697885</v>
      </c>
      <c r="O26" s="166"/>
    </row>
    <row r="27" spans="2:21" s="27" customFormat="1" ht="12" customHeight="1" x14ac:dyDescent="0.2">
      <c r="B27" s="110"/>
      <c r="D27" s="30"/>
      <c r="E27" s="87" t="s">
        <v>13</v>
      </c>
      <c r="F27" s="28"/>
      <c r="G27" s="28"/>
      <c r="H27" s="29"/>
      <c r="I27" s="29"/>
      <c r="J27" s="29"/>
      <c r="K27" s="29"/>
      <c r="L27" s="29"/>
      <c r="M27" s="29"/>
      <c r="N27" s="29"/>
      <c r="O27" s="64"/>
    </row>
    <row r="28" spans="2:21" s="27" customFormat="1" ht="12" customHeight="1" x14ac:dyDescent="0.2">
      <c r="B28" s="110"/>
      <c r="D28" s="30"/>
      <c r="E28" s="102" t="s">
        <v>14</v>
      </c>
      <c r="F28" s="36"/>
      <c r="G28" s="36"/>
      <c r="H28" s="29"/>
      <c r="I28" s="53">
        <v>0</v>
      </c>
      <c r="J28" s="53">
        <v>0</v>
      </c>
      <c r="K28" s="53">
        <v>0</v>
      </c>
      <c r="L28" s="53">
        <v>0</v>
      </c>
      <c r="M28" s="53">
        <v>0</v>
      </c>
      <c r="N28" s="57">
        <f t="shared" si="3"/>
        <v>0</v>
      </c>
      <c r="O28" s="76"/>
    </row>
    <row r="29" spans="2:21" s="27" customFormat="1" ht="12" customHeight="1" x14ac:dyDescent="0.2">
      <c r="B29" s="110"/>
      <c r="D29" s="30"/>
      <c r="E29" s="102" t="s">
        <v>15</v>
      </c>
      <c r="F29" s="36"/>
      <c r="G29" s="36"/>
      <c r="H29" s="29"/>
      <c r="I29" s="53">
        <v>0</v>
      </c>
      <c r="J29" s="53">
        <v>0</v>
      </c>
      <c r="K29" s="53">
        <v>0</v>
      </c>
      <c r="L29" s="53">
        <v>0</v>
      </c>
      <c r="M29" s="53">
        <v>0</v>
      </c>
      <c r="N29" s="57">
        <f t="shared" si="3"/>
        <v>0</v>
      </c>
      <c r="O29" s="76"/>
    </row>
    <row r="30" spans="2:21" s="27" customFormat="1" ht="12" customHeight="1" x14ac:dyDescent="0.2">
      <c r="B30" s="110"/>
      <c r="D30" s="30"/>
      <c r="E30" s="103" t="s">
        <v>131</v>
      </c>
      <c r="F30" s="28"/>
      <c r="G30" s="28"/>
      <c r="H30" s="29"/>
      <c r="I30" s="53">
        <v>1100575.243523316</v>
      </c>
      <c r="J30" s="53">
        <v>120177.75647668394</v>
      </c>
      <c r="K30" s="53">
        <v>0</v>
      </c>
      <c r="L30" s="53">
        <v>0</v>
      </c>
      <c r="M30" s="53">
        <v>0</v>
      </c>
      <c r="N30" s="91">
        <f t="shared" si="3"/>
        <v>1220753</v>
      </c>
      <c r="O30" s="166" t="s">
        <v>312</v>
      </c>
    </row>
    <row r="31" spans="2:21" s="27" customFormat="1" ht="12" customHeight="1" x14ac:dyDescent="0.2">
      <c r="B31" s="110"/>
      <c r="E31" s="82" t="s">
        <v>16</v>
      </c>
      <c r="F31" s="83"/>
      <c r="G31" s="83"/>
      <c r="H31" s="84"/>
      <c r="I31" s="54">
        <f t="shared" ref="I31:N31" si="5">SUM(I24:I30)</f>
        <v>5914219.3147084322</v>
      </c>
      <c r="J31" s="54">
        <f t="shared" si="5"/>
        <v>818062.75647668389</v>
      </c>
      <c r="K31" s="54">
        <f t="shared" si="5"/>
        <v>0</v>
      </c>
      <c r="L31" s="54">
        <f t="shared" si="5"/>
        <v>0</v>
      </c>
      <c r="M31" s="54">
        <f t="shared" si="5"/>
        <v>589726.94881488255</v>
      </c>
      <c r="N31" s="85">
        <f t="shared" si="5"/>
        <v>7322009.0199999996</v>
      </c>
      <c r="O31" s="76"/>
    </row>
    <row r="32" spans="2:21" s="27" customFormat="1" ht="7.5" customHeight="1" x14ac:dyDescent="0.2">
      <c r="B32" s="110"/>
      <c r="C32" s="30"/>
      <c r="D32" s="30"/>
      <c r="E32" s="33"/>
      <c r="F32" s="32"/>
      <c r="G32" s="32"/>
      <c r="H32" s="29"/>
      <c r="I32" s="29"/>
      <c r="J32" s="29"/>
      <c r="K32" s="29"/>
      <c r="L32" s="29"/>
      <c r="M32" s="29"/>
      <c r="N32" s="29"/>
      <c r="O32" s="64"/>
    </row>
    <row r="33" spans="2:15" s="27" customFormat="1" ht="12" customHeight="1" x14ac:dyDescent="0.2">
      <c r="B33" s="109"/>
      <c r="E33" s="26" t="s">
        <v>17</v>
      </c>
      <c r="F33" s="32"/>
      <c r="G33" s="32"/>
      <c r="H33" s="29"/>
      <c r="I33" s="29"/>
      <c r="J33" s="29"/>
      <c r="K33" s="29"/>
      <c r="L33" s="29"/>
      <c r="M33" s="29"/>
      <c r="N33" s="29"/>
      <c r="O33" s="64"/>
    </row>
    <row r="34" spans="2:15" s="27" customFormat="1" ht="12" customHeight="1" x14ac:dyDescent="0.2">
      <c r="B34" s="110"/>
      <c r="C34" s="30"/>
      <c r="E34" s="55" t="s">
        <v>18</v>
      </c>
      <c r="F34" s="28"/>
      <c r="G34" s="28"/>
      <c r="H34" s="29"/>
      <c r="I34" s="53">
        <v>0</v>
      </c>
      <c r="J34" s="53">
        <v>34200</v>
      </c>
      <c r="K34" s="53">
        <v>0</v>
      </c>
      <c r="L34" s="53">
        <v>0</v>
      </c>
      <c r="M34" s="53">
        <v>0</v>
      </c>
      <c r="N34" s="57">
        <f>SUM(I34:M34)</f>
        <v>34200</v>
      </c>
      <c r="O34" s="76"/>
    </row>
    <row r="35" spans="2:15" s="27" customFormat="1" ht="12" customHeight="1" x14ac:dyDescent="0.2">
      <c r="B35" s="110"/>
      <c r="C35" s="30"/>
      <c r="E35" s="55" t="s">
        <v>19</v>
      </c>
      <c r="F35" s="28"/>
      <c r="G35" s="28"/>
      <c r="H35" s="29"/>
      <c r="I35" s="53">
        <v>81139.896373056996</v>
      </c>
      <c r="J35" s="53">
        <v>8860.103626943006</v>
      </c>
      <c r="K35" s="53">
        <v>0</v>
      </c>
      <c r="L35" s="53">
        <v>0</v>
      </c>
      <c r="M35" s="53">
        <v>0</v>
      </c>
      <c r="N35" s="57">
        <f>SUM(I35:M35)</f>
        <v>90000</v>
      </c>
      <c r="O35" s="76"/>
    </row>
    <row r="36" spans="2:15" s="27" customFormat="1" ht="12" customHeight="1" x14ac:dyDescent="0.2">
      <c r="B36" s="110"/>
      <c r="C36" s="30"/>
      <c r="E36" s="55" t="s">
        <v>20</v>
      </c>
      <c r="F36" s="28"/>
      <c r="G36" s="28"/>
      <c r="H36" s="29"/>
      <c r="I36" s="53">
        <v>9015.5440414507775</v>
      </c>
      <c r="J36" s="53">
        <v>984.45595854922283</v>
      </c>
      <c r="K36" s="53">
        <v>0</v>
      </c>
      <c r="L36" s="53">
        <v>0</v>
      </c>
      <c r="M36" s="53">
        <v>0</v>
      </c>
      <c r="N36" s="57">
        <f>SUM(I36:M36)</f>
        <v>10000</v>
      </c>
      <c r="O36" s="76"/>
    </row>
    <row r="37" spans="2:15" s="27" customFormat="1" ht="12" customHeight="1" x14ac:dyDescent="0.2">
      <c r="B37" s="110"/>
      <c r="C37" s="30"/>
      <c r="E37" s="55" t="s">
        <v>21</v>
      </c>
      <c r="F37" s="28"/>
      <c r="G37" s="28"/>
      <c r="H37" s="29"/>
      <c r="I37" s="53">
        <v>0</v>
      </c>
      <c r="J37" s="53">
        <v>0</v>
      </c>
      <c r="K37" s="53">
        <v>0</v>
      </c>
      <c r="L37" s="53">
        <v>0</v>
      </c>
      <c r="M37" s="53">
        <v>0</v>
      </c>
      <c r="N37" s="57">
        <f>SUM(I37:M37)</f>
        <v>0</v>
      </c>
      <c r="O37" s="76"/>
    </row>
    <row r="38" spans="2:15" s="27" customFormat="1" ht="12" customHeight="1" x14ac:dyDescent="0.2">
      <c r="B38" s="110"/>
      <c r="C38" s="30"/>
      <c r="E38" s="55" t="s">
        <v>13</v>
      </c>
      <c r="F38" s="28"/>
      <c r="G38" s="28"/>
      <c r="H38" s="29"/>
      <c r="I38" s="29"/>
      <c r="J38" s="29"/>
      <c r="K38" s="29"/>
      <c r="L38" s="29"/>
      <c r="M38" s="29"/>
      <c r="N38" s="29"/>
      <c r="O38" s="76"/>
    </row>
    <row r="39" spans="2:15" s="27" customFormat="1" ht="12" customHeight="1" x14ac:dyDescent="0.2">
      <c r="B39" s="110"/>
      <c r="C39" s="30"/>
      <c r="E39" s="87" t="s">
        <v>22</v>
      </c>
      <c r="F39" s="36"/>
      <c r="G39" s="36"/>
      <c r="H39" s="29"/>
      <c r="I39" s="53">
        <v>0</v>
      </c>
      <c r="J39" s="53">
        <v>0</v>
      </c>
      <c r="K39" s="53">
        <v>0</v>
      </c>
      <c r="L39" s="53">
        <v>0</v>
      </c>
      <c r="M39" s="53">
        <v>0</v>
      </c>
      <c r="N39" s="57">
        <f>SUM(I39:M39)</f>
        <v>0</v>
      </c>
      <c r="O39" s="166"/>
    </row>
    <row r="40" spans="2:15" s="27" customFormat="1" ht="12" customHeight="1" x14ac:dyDescent="0.2">
      <c r="B40" s="110"/>
      <c r="C40" s="30"/>
      <c r="E40" s="87" t="s">
        <v>15</v>
      </c>
      <c r="F40" s="36"/>
      <c r="G40" s="36"/>
      <c r="H40" s="29"/>
      <c r="I40" s="53">
        <v>0</v>
      </c>
      <c r="J40" s="53">
        <v>0</v>
      </c>
      <c r="K40" s="53">
        <v>0</v>
      </c>
      <c r="L40" s="53">
        <v>0</v>
      </c>
      <c r="M40" s="53">
        <v>0</v>
      </c>
      <c r="N40" s="57">
        <f>SUM(I40:M40)</f>
        <v>0</v>
      </c>
      <c r="O40" s="76"/>
    </row>
    <row r="41" spans="2:15" s="27" customFormat="1" ht="12" customHeight="1" x14ac:dyDescent="0.2">
      <c r="B41" s="110"/>
      <c r="C41" s="30"/>
      <c r="E41" s="55" t="s">
        <v>132</v>
      </c>
      <c r="F41" s="28"/>
      <c r="G41" s="28"/>
      <c r="H41" s="29"/>
      <c r="I41" s="53">
        <v>0</v>
      </c>
      <c r="J41" s="53">
        <v>0</v>
      </c>
      <c r="K41" s="53">
        <v>0</v>
      </c>
      <c r="L41" s="53">
        <v>0</v>
      </c>
      <c r="M41" s="53">
        <v>0</v>
      </c>
      <c r="N41" s="57">
        <f>SUM(I41:M41)</f>
        <v>0</v>
      </c>
      <c r="O41" s="76"/>
    </row>
    <row r="42" spans="2:15" s="27" customFormat="1" ht="12" customHeight="1" x14ac:dyDescent="0.2">
      <c r="B42" s="110"/>
      <c r="E42" s="82" t="s">
        <v>23</v>
      </c>
      <c r="F42" s="83"/>
      <c r="G42" s="83"/>
      <c r="H42" s="86"/>
      <c r="I42" s="54">
        <f t="shared" ref="I42:N42" si="6">SUM(I34:I41)</f>
        <v>90155.440414507771</v>
      </c>
      <c r="J42" s="54">
        <f t="shared" si="6"/>
        <v>44044.559585492229</v>
      </c>
      <c r="K42" s="54">
        <f t="shared" si="6"/>
        <v>0</v>
      </c>
      <c r="L42" s="54">
        <f t="shared" si="6"/>
        <v>0</v>
      </c>
      <c r="M42" s="54">
        <f t="shared" si="6"/>
        <v>0</v>
      </c>
      <c r="N42" s="58">
        <f t="shared" si="6"/>
        <v>134200</v>
      </c>
      <c r="O42" s="76"/>
    </row>
    <row r="43" spans="2:15" s="27" customFormat="1" ht="7.5" customHeight="1" x14ac:dyDescent="0.2">
      <c r="B43" s="110"/>
      <c r="C43" s="30"/>
      <c r="D43" s="30"/>
      <c r="E43" s="33"/>
      <c r="F43" s="32"/>
      <c r="G43" s="32"/>
      <c r="H43" s="29"/>
      <c r="I43" s="29"/>
      <c r="J43" s="29"/>
      <c r="K43" s="29"/>
      <c r="L43" s="29"/>
      <c r="M43" s="29"/>
      <c r="N43" s="29"/>
      <c r="O43" s="64"/>
    </row>
    <row r="44" spans="2:15" s="27" customFormat="1" ht="12" customHeight="1" x14ac:dyDescent="0.2">
      <c r="B44" s="109"/>
      <c r="D44" s="26"/>
      <c r="E44" s="22" t="s">
        <v>24</v>
      </c>
      <c r="F44" s="32"/>
      <c r="G44" s="32"/>
      <c r="H44" s="29"/>
      <c r="I44" s="29"/>
      <c r="J44" s="29"/>
      <c r="K44" s="29"/>
      <c r="L44" s="29"/>
      <c r="M44" s="29"/>
      <c r="N44" s="29"/>
      <c r="O44" s="64"/>
    </row>
    <row r="45" spans="2:15" s="27" customFormat="1" ht="12" customHeight="1" x14ac:dyDescent="0.2">
      <c r="B45" s="110"/>
      <c r="E45" s="55" t="s">
        <v>118</v>
      </c>
      <c r="F45" s="28"/>
      <c r="G45" s="28"/>
      <c r="H45" s="29"/>
      <c r="I45" s="53">
        <v>70054.017412107554</v>
      </c>
      <c r="J45" s="53">
        <v>7763.1713516028358</v>
      </c>
      <c r="K45" s="53">
        <v>0</v>
      </c>
      <c r="L45" s="53">
        <v>41.420596301579664</v>
      </c>
      <c r="M45" s="53">
        <v>2141.3906399880316</v>
      </c>
      <c r="N45" s="57">
        <f t="shared" ref="N45:N51" si="7">SUM(I45:M45)</f>
        <v>80000.000000000015</v>
      </c>
      <c r="O45" s="76"/>
    </row>
    <row r="46" spans="2:15" s="27" customFormat="1" ht="12" customHeight="1" x14ac:dyDescent="0.2">
      <c r="B46" s="110"/>
      <c r="E46" s="55" t="s">
        <v>26</v>
      </c>
      <c r="F46" s="28"/>
      <c r="G46" s="28"/>
      <c r="H46" s="29"/>
      <c r="I46" s="53">
        <v>19950.941454253611</v>
      </c>
      <c r="J46" s="53">
        <v>2320.5445003843743</v>
      </c>
      <c r="K46" s="53">
        <v>0</v>
      </c>
      <c r="L46" s="53">
        <v>51.775745376974584</v>
      </c>
      <c r="M46" s="53">
        <v>2676.7382999850392</v>
      </c>
      <c r="N46" s="57">
        <f t="shared" si="7"/>
        <v>24999.999999999996</v>
      </c>
      <c r="O46" s="76"/>
    </row>
    <row r="47" spans="2:15" s="27" customFormat="1" ht="12" customHeight="1" x14ac:dyDescent="0.2">
      <c r="B47" s="110"/>
      <c r="E47" s="55" t="s">
        <v>119</v>
      </c>
      <c r="F47" s="28"/>
      <c r="G47" s="28"/>
      <c r="H47" s="29"/>
      <c r="I47" s="53">
        <v>0</v>
      </c>
      <c r="J47" s="53">
        <v>0</v>
      </c>
      <c r="K47" s="53">
        <v>0</v>
      </c>
      <c r="L47" s="53">
        <v>0</v>
      </c>
      <c r="M47" s="53">
        <v>0</v>
      </c>
      <c r="N47" s="57">
        <f t="shared" si="7"/>
        <v>0</v>
      </c>
      <c r="O47" s="76"/>
    </row>
    <row r="48" spans="2:15" s="27" customFormat="1" ht="12" customHeight="1" x14ac:dyDescent="0.2">
      <c r="B48" s="110"/>
      <c r="E48" s="55" t="s">
        <v>117</v>
      </c>
      <c r="F48" s="28"/>
      <c r="G48" s="28"/>
      <c r="H48" s="29"/>
      <c r="I48" s="53">
        <v>0</v>
      </c>
      <c r="J48" s="53">
        <v>0</v>
      </c>
      <c r="K48" s="53">
        <v>0</v>
      </c>
      <c r="L48" s="53">
        <v>0</v>
      </c>
      <c r="M48" s="53">
        <v>0</v>
      </c>
      <c r="N48" s="57">
        <f t="shared" si="7"/>
        <v>0</v>
      </c>
      <c r="O48" s="76"/>
    </row>
    <row r="49" spans="2:15" s="27" customFormat="1" ht="12" customHeight="1" x14ac:dyDescent="0.2">
      <c r="B49" s="110"/>
      <c r="E49" s="55" t="s">
        <v>27</v>
      </c>
      <c r="F49" s="28"/>
      <c r="G49" s="28"/>
      <c r="H49" s="29"/>
      <c r="I49" s="53">
        <v>0</v>
      </c>
      <c r="J49" s="53">
        <v>0</v>
      </c>
      <c r="K49" s="53">
        <v>0</v>
      </c>
      <c r="L49" s="53">
        <v>0</v>
      </c>
      <c r="M49" s="53">
        <v>0</v>
      </c>
      <c r="N49" s="57">
        <f t="shared" si="7"/>
        <v>0</v>
      </c>
      <c r="O49" s="76"/>
    </row>
    <row r="50" spans="2:15" s="27" customFormat="1" ht="12" customHeight="1" x14ac:dyDescent="0.2">
      <c r="B50" s="110"/>
      <c r="E50" s="55" t="s">
        <v>28</v>
      </c>
      <c r="F50" s="28"/>
      <c r="G50" s="28"/>
      <c r="H50" s="29"/>
      <c r="I50" s="53">
        <v>26732.891191709841</v>
      </c>
      <c r="J50" s="53">
        <v>2919.1088082901556</v>
      </c>
      <c r="K50" s="53">
        <v>0</v>
      </c>
      <c r="L50" s="53">
        <v>0</v>
      </c>
      <c r="M50" s="53">
        <v>0</v>
      </c>
      <c r="N50" s="57">
        <f t="shared" si="7"/>
        <v>29651.999999999996</v>
      </c>
      <c r="O50" s="166" t="s">
        <v>313</v>
      </c>
    </row>
    <row r="51" spans="2:15" s="27" customFormat="1" ht="12" customHeight="1" x14ac:dyDescent="0.2">
      <c r="B51" s="110"/>
      <c r="E51" s="55" t="s">
        <v>133</v>
      </c>
      <c r="F51" s="28"/>
      <c r="G51" s="28"/>
      <c r="H51" s="29"/>
      <c r="I51" s="53">
        <v>0</v>
      </c>
      <c r="J51" s="53">
        <v>0</v>
      </c>
      <c r="K51" s="53">
        <v>0</v>
      </c>
      <c r="L51" s="53">
        <v>0</v>
      </c>
      <c r="M51" s="53">
        <v>0</v>
      </c>
      <c r="N51" s="57">
        <f t="shared" si="7"/>
        <v>0</v>
      </c>
      <c r="O51" s="76"/>
    </row>
    <row r="52" spans="2:15" s="27" customFormat="1" ht="12" customHeight="1" x14ac:dyDescent="0.2">
      <c r="B52" s="110"/>
      <c r="D52" s="31"/>
      <c r="E52" s="120" t="s">
        <v>30</v>
      </c>
      <c r="F52" s="83"/>
      <c r="G52" s="83"/>
      <c r="H52" s="86"/>
      <c r="I52" s="54">
        <f t="shared" ref="I52:N52" si="8">SUM(I45:I51)</f>
        <v>116737.85005807101</v>
      </c>
      <c r="J52" s="54">
        <f t="shared" si="8"/>
        <v>13002.824660277365</v>
      </c>
      <c r="K52" s="54">
        <f t="shared" si="8"/>
        <v>0</v>
      </c>
      <c r="L52" s="54">
        <f t="shared" si="8"/>
        <v>93.196341678554248</v>
      </c>
      <c r="M52" s="54">
        <f t="shared" si="8"/>
        <v>4818.1289399730704</v>
      </c>
      <c r="N52" s="58">
        <f t="shared" si="8"/>
        <v>134652</v>
      </c>
      <c r="O52" s="76"/>
    </row>
    <row r="53" spans="2:15" s="27" customFormat="1" ht="7.5" customHeight="1" thickBot="1" x14ac:dyDescent="0.25">
      <c r="B53" s="110"/>
      <c r="C53" s="30"/>
      <c r="D53" s="31"/>
      <c r="F53" s="28"/>
      <c r="G53" s="28"/>
      <c r="H53" s="29"/>
      <c r="I53" s="29"/>
      <c r="J53" s="29"/>
      <c r="K53" s="29"/>
      <c r="L53" s="29"/>
      <c r="M53" s="29"/>
      <c r="N53" s="29"/>
      <c r="O53" s="76"/>
    </row>
    <row r="54" spans="2:15" s="27" customFormat="1" ht="12" customHeight="1" thickTop="1" x14ac:dyDescent="0.2">
      <c r="B54" s="108"/>
      <c r="C54" s="22"/>
      <c r="D54" s="22"/>
      <c r="E54" s="121" t="s">
        <v>31</v>
      </c>
      <c r="F54" s="122"/>
      <c r="G54" s="122"/>
      <c r="H54" s="123"/>
      <c r="I54" s="124">
        <f t="shared" ref="I54:N54" si="9">I52+I42+I31</f>
        <v>6121112.6051810114</v>
      </c>
      <c r="J54" s="124">
        <f t="shared" si="9"/>
        <v>875110.14072245348</v>
      </c>
      <c r="K54" s="124">
        <f t="shared" si="9"/>
        <v>0</v>
      </c>
      <c r="L54" s="124">
        <f t="shared" si="9"/>
        <v>93.196341678554248</v>
      </c>
      <c r="M54" s="124">
        <f t="shared" si="9"/>
        <v>594545.07775485562</v>
      </c>
      <c r="N54" s="125">
        <f t="shared" si="9"/>
        <v>7590861.0199999996</v>
      </c>
      <c r="O54" s="76"/>
    </row>
    <row r="55" spans="2:15" s="27" customFormat="1" ht="7.5" customHeight="1" x14ac:dyDescent="0.2">
      <c r="B55" s="111"/>
      <c r="C55" s="22"/>
      <c r="D55" s="22"/>
      <c r="F55" s="28"/>
      <c r="G55" s="28"/>
      <c r="H55" s="29"/>
      <c r="I55" s="92"/>
      <c r="J55" s="92"/>
      <c r="K55" s="92"/>
      <c r="L55" s="92"/>
      <c r="M55" s="92"/>
      <c r="N55" s="92"/>
      <c r="O55" s="64"/>
    </row>
    <row r="56" spans="2:15" s="27" customFormat="1" ht="12" customHeight="1" x14ac:dyDescent="0.2">
      <c r="B56" s="109"/>
      <c r="C56" s="26"/>
      <c r="D56" s="26"/>
      <c r="F56" s="28"/>
      <c r="G56" s="28"/>
      <c r="H56" s="29"/>
      <c r="I56" s="29"/>
      <c r="J56" s="29"/>
      <c r="K56" s="29"/>
      <c r="L56" s="29"/>
      <c r="M56" s="29"/>
      <c r="N56" s="29"/>
      <c r="O56" s="66" t="s">
        <v>123</v>
      </c>
    </row>
    <row r="57" spans="2:15" s="27" customFormat="1" ht="12" customHeight="1" x14ac:dyDescent="0.2">
      <c r="B57" s="108"/>
      <c r="C57" s="26"/>
      <c r="D57" s="26"/>
      <c r="E57" s="26" t="s">
        <v>32</v>
      </c>
      <c r="F57" s="28"/>
      <c r="G57" s="28"/>
      <c r="H57" s="29"/>
      <c r="I57" s="29"/>
      <c r="J57" s="29"/>
      <c r="K57" s="29"/>
      <c r="L57" s="29"/>
      <c r="M57" s="29"/>
      <c r="N57" s="29"/>
      <c r="O57" s="67"/>
    </row>
    <row r="58" spans="2:15" s="27" customFormat="1" ht="12" customHeight="1" x14ac:dyDescent="0.2">
      <c r="B58" s="110"/>
      <c r="D58" s="30"/>
      <c r="E58" s="22" t="s">
        <v>33</v>
      </c>
      <c r="F58" s="28"/>
      <c r="G58" s="28" t="s">
        <v>34</v>
      </c>
      <c r="H58" s="29"/>
      <c r="I58" s="29"/>
      <c r="J58" s="29"/>
      <c r="K58" s="29"/>
      <c r="L58" s="29"/>
      <c r="M58" s="29"/>
      <c r="N58" s="29"/>
      <c r="O58" s="64"/>
    </row>
    <row r="59" spans="2:15" s="27" customFormat="1" ht="12" customHeight="1" x14ac:dyDescent="0.2">
      <c r="B59" s="110"/>
      <c r="E59" s="90" t="s">
        <v>35</v>
      </c>
      <c r="F59" s="36"/>
      <c r="G59" s="78">
        <v>1.3</v>
      </c>
      <c r="H59" s="29"/>
      <c r="I59" s="53">
        <v>136305.72100000002</v>
      </c>
      <c r="J59" s="53">
        <v>22319.222000000002</v>
      </c>
      <c r="K59" s="53">
        <v>0</v>
      </c>
      <c r="L59" s="53">
        <v>8769.2219999999998</v>
      </c>
      <c r="M59" s="53">
        <v>55798.055</v>
      </c>
      <c r="N59" s="57">
        <f t="shared" ref="N59:N64" si="10">SUM(I59:M59)</f>
        <v>223192.22000000003</v>
      </c>
      <c r="O59" s="166" t="s">
        <v>337</v>
      </c>
    </row>
    <row r="60" spans="2:15" s="27" customFormat="1" ht="12" customHeight="1" x14ac:dyDescent="0.2">
      <c r="B60" s="110"/>
      <c r="E60" s="90" t="s">
        <v>36</v>
      </c>
      <c r="F60" s="36"/>
      <c r="G60" s="78">
        <v>1</v>
      </c>
      <c r="H60" s="29"/>
      <c r="I60" s="53">
        <v>71500</v>
      </c>
      <c r="J60" s="53">
        <v>11000</v>
      </c>
      <c r="K60" s="53">
        <v>0</v>
      </c>
      <c r="L60" s="53">
        <v>0</v>
      </c>
      <c r="M60" s="53">
        <v>27500</v>
      </c>
      <c r="N60" s="57">
        <f t="shared" si="10"/>
        <v>110000</v>
      </c>
      <c r="O60" s="166" t="s">
        <v>336</v>
      </c>
    </row>
    <row r="61" spans="2:15" s="27" customFormat="1" ht="12" customHeight="1" x14ac:dyDescent="0.2">
      <c r="B61" s="110"/>
      <c r="E61" s="90" t="s">
        <v>37</v>
      </c>
      <c r="F61" s="36"/>
      <c r="G61" s="78">
        <v>8</v>
      </c>
      <c r="H61" s="29"/>
      <c r="I61" s="53">
        <v>586397.12953367876</v>
      </c>
      <c r="J61" s="53">
        <v>64031.870466321248</v>
      </c>
      <c r="K61" s="53">
        <v>0</v>
      </c>
      <c r="L61" s="53">
        <v>0</v>
      </c>
      <c r="M61" s="53">
        <v>0</v>
      </c>
      <c r="N61" s="57">
        <f t="shared" si="10"/>
        <v>650429</v>
      </c>
      <c r="O61" s="166" t="s">
        <v>314</v>
      </c>
    </row>
    <row r="62" spans="2:15" s="27" customFormat="1" ht="12" customHeight="1" x14ac:dyDescent="0.2">
      <c r="B62" s="110"/>
      <c r="E62" s="90" t="s">
        <v>38</v>
      </c>
      <c r="F62" s="36"/>
      <c r="G62" s="78">
        <v>1</v>
      </c>
      <c r="H62" s="29"/>
      <c r="I62" s="53">
        <v>0</v>
      </c>
      <c r="J62" s="53">
        <v>0</v>
      </c>
      <c r="K62" s="53">
        <v>0</v>
      </c>
      <c r="L62" s="53">
        <v>0</v>
      </c>
      <c r="M62" s="53">
        <v>58334</v>
      </c>
      <c r="N62" s="57">
        <f t="shared" si="10"/>
        <v>58334</v>
      </c>
      <c r="O62" s="76"/>
    </row>
    <row r="63" spans="2:15" s="27" customFormat="1" ht="12" customHeight="1" x14ac:dyDescent="0.2">
      <c r="B63" s="110"/>
      <c r="E63" s="90" t="s">
        <v>39</v>
      </c>
      <c r="F63" s="36"/>
      <c r="G63" s="78">
        <v>1</v>
      </c>
      <c r="H63" s="29"/>
      <c r="I63" s="53">
        <v>38750</v>
      </c>
      <c r="J63" s="53">
        <v>7750</v>
      </c>
      <c r="K63" s="53">
        <v>0</v>
      </c>
      <c r="L63" s="53">
        <v>0</v>
      </c>
      <c r="M63" s="53">
        <v>31000</v>
      </c>
      <c r="N63" s="57">
        <f t="shared" si="10"/>
        <v>77500</v>
      </c>
      <c r="O63" s="166" t="s">
        <v>315</v>
      </c>
    </row>
    <row r="64" spans="2:15" s="27" customFormat="1" ht="12" customHeight="1" x14ac:dyDescent="0.2">
      <c r="B64" s="110"/>
      <c r="E64" s="90" t="s">
        <v>40</v>
      </c>
      <c r="F64" s="37"/>
      <c r="G64" s="78">
        <v>5.4999999999999991</v>
      </c>
      <c r="H64" s="29"/>
      <c r="I64" s="53">
        <v>71801.5</v>
      </c>
      <c r="J64" s="53">
        <v>17743.25</v>
      </c>
      <c r="K64" s="53">
        <v>0</v>
      </c>
      <c r="L64" s="53">
        <v>0</v>
      </c>
      <c r="M64" s="53">
        <v>206220.25</v>
      </c>
      <c r="N64" s="57">
        <f t="shared" si="10"/>
        <v>295765</v>
      </c>
      <c r="O64" s="166" t="s">
        <v>331</v>
      </c>
    </row>
    <row r="65" spans="2:15" s="27" customFormat="1" ht="12" customHeight="1" x14ac:dyDescent="0.2">
      <c r="B65" s="110"/>
      <c r="E65" s="38" t="s">
        <v>41</v>
      </c>
      <c r="F65" s="36"/>
      <c r="G65" s="54">
        <f>SUM(G59:G64)</f>
        <v>17.8</v>
      </c>
      <c r="H65" s="29"/>
      <c r="I65" s="54">
        <f t="shared" ref="I65:N65" si="11">SUM(I59:I64)</f>
        <v>904754.35053367878</v>
      </c>
      <c r="J65" s="54">
        <f t="shared" si="11"/>
        <v>122844.34246632125</v>
      </c>
      <c r="K65" s="54">
        <f t="shared" si="11"/>
        <v>0</v>
      </c>
      <c r="L65" s="54">
        <f t="shared" si="11"/>
        <v>8769.2219999999998</v>
      </c>
      <c r="M65" s="54">
        <f t="shared" si="11"/>
        <v>378852.30499999999</v>
      </c>
      <c r="N65" s="58">
        <f t="shared" si="11"/>
        <v>1415220.22</v>
      </c>
      <c r="O65" s="76"/>
    </row>
    <row r="66" spans="2:15" s="27" customFormat="1" ht="7.5" customHeight="1" x14ac:dyDescent="0.2">
      <c r="B66" s="110"/>
      <c r="D66" s="35"/>
      <c r="E66" s="35"/>
      <c r="F66" s="36"/>
      <c r="G66" s="36"/>
      <c r="H66" s="29"/>
      <c r="I66" s="29"/>
      <c r="J66" s="29"/>
      <c r="K66" s="29"/>
      <c r="L66" s="29"/>
      <c r="M66" s="29"/>
      <c r="N66" s="29"/>
      <c r="O66" s="64"/>
    </row>
    <row r="67" spans="2:15" s="27" customFormat="1" ht="12" customHeight="1" x14ac:dyDescent="0.2">
      <c r="B67" s="110"/>
      <c r="D67" s="30"/>
      <c r="E67" s="22" t="s">
        <v>42</v>
      </c>
      <c r="F67" s="28"/>
      <c r="G67" s="28"/>
      <c r="H67" s="29"/>
      <c r="I67" s="29"/>
      <c r="J67" s="29"/>
      <c r="K67" s="29"/>
      <c r="L67" s="29"/>
      <c r="M67" s="29"/>
      <c r="N67" s="29"/>
      <c r="O67" s="64"/>
    </row>
    <row r="68" spans="2:15" s="27" customFormat="1" ht="12" customHeight="1" x14ac:dyDescent="0.2">
      <c r="B68" s="110"/>
      <c r="E68" s="90" t="s">
        <v>43</v>
      </c>
      <c r="F68" s="36"/>
      <c r="G68" s="78">
        <v>18</v>
      </c>
      <c r="H68" s="29"/>
      <c r="I68" s="53">
        <v>1079692.5388601036</v>
      </c>
      <c r="J68" s="53">
        <v>117897.46113989638</v>
      </c>
      <c r="K68" s="53">
        <v>0</v>
      </c>
      <c r="L68" s="53">
        <v>0</v>
      </c>
      <c r="M68" s="53">
        <v>0</v>
      </c>
      <c r="N68" s="57">
        <f t="shared" ref="N68:N74" si="12">SUM(I68:M68)</f>
        <v>1197590</v>
      </c>
      <c r="O68" s="166" t="s">
        <v>332</v>
      </c>
    </row>
    <row r="69" spans="2:15" s="27" customFormat="1" ht="12" customHeight="1" x14ac:dyDescent="0.2">
      <c r="B69" s="110"/>
      <c r="E69" s="90" t="s">
        <v>44</v>
      </c>
      <c r="F69" s="36"/>
      <c r="G69" s="78">
        <v>11</v>
      </c>
      <c r="H69" s="29"/>
      <c r="I69" s="53">
        <v>653371.80310880824</v>
      </c>
      <c r="J69" s="53">
        <v>71345.196891191707</v>
      </c>
      <c r="K69" s="53">
        <v>0</v>
      </c>
      <c r="L69" s="53">
        <v>0</v>
      </c>
      <c r="M69" s="53">
        <v>0</v>
      </c>
      <c r="N69" s="57">
        <f t="shared" si="12"/>
        <v>724717</v>
      </c>
      <c r="O69" s="166" t="s">
        <v>333</v>
      </c>
    </row>
    <row r="70" spans="2:15" s="27" customFormat="1" ht="12" customHeight="1" x14ac:dyDescent="0.2">
      <c r="B70" s="110"/>
      <c r="E70" s="90" t="s">
        <v>45</v>
      </c>
      <c r="F70" s="36"/>
      <c r="G70" s="78">
        <v>0</v>
      </c>
      <c r="H70" s="29"/>
      <c r="I70" s="53">
        <v>0</v>
      </c>
      <c r="J70" s="53">
        <v>0</v>
      </c>
      <c r="K70" s="53">
        <v>0</v>
      </c>
      <c r="L70" s="53">
        <v>0</v>
      </c>
      <c r="M70" s="53">
        <v>0</v>
      </c>
      <c r="N70" s="57">
        <f t="shared" si="12"/>
        <v>0</v>
      </c>
      <c r="O70" s="166"/>
    </row>
    <row r="71" spans="2:15" s="27" customFormat="1" ht="12" customHeight="1" x14ac:dyDescent="0.2">
      <c r="B71" s="110"/>
      <c r="E71" s="90" t="s">
        <v>46</v>
      </c>
      <c r="F71" s="36"/>
      <c r="G71" s="78">
        <v>2</v>
      </c>
      <c r="H71" s="29"/>
      <c r="I71" s="53">
        <v>72124.35233160622</v>
      </c>
      <c r="J71" s="53">
        <v>7875.6476683937826</v>
      </c>
      <c r="K71" s="53">
        <v>0</v>
      </c>
      <c r="L71" s="53">
        <v>0</v>
      </c>
      <c r="M71" s="53">
        <v>0</v>
      </c>
      <c r="N71" s="57">
        <f t="shared" si="12"/>
        <v>80000</v>
      </c>
      <c r="O71" s="166" t="s">
        <v>316</v>
      </c>
    </row>
    <row r="72" spans="2:15" s="27" customFormat="1" ht="12" customHeight="1" x14ac:dyDescent="0.2">
      <c r="B72" s="110"/>
      <c r="E72" s="90" t="s">
        <v>47</v>
      </c>
      <c r="F72" s="36"/>
      <c r="G72" s="78">
        <v>8</v>
      </c>
      <c r="H72" s="29"/>
      <c r="I72" s="53">
        <v>466103.62694300525</v>
      </c>
      <c r="J72" s="53">
        <v>50896.373056994824</v>
      </c>
      <c r="K72" s="53">
        <v>0</v>
      </c>
      <c r="L72" s="53">
        <v>0</v>
      </c>
      <c r="M72" s="53">
        <v>0</v>
      </c>
      <c r="N72" s="57">
        <f t="shared" si="12"/>
        <v>517000.00000000006</v>
      </c>
      <c r="O72" s="166" t="s">
        <v>317</v>
      </c>
    </row>
    <row r="73" spans="2:15" s="27" customFormat="1" ht="12" customHeight="1" x14ac:dyDescent="0.2">
      <c r="B73" s="110"/>
      <c r="E73" s="90" t="s">
        <v>48</v>
      </c>
      <c r="F73" s="36"/>
      <c r="G73" s="78">
        <v>0</v>
      </c>
      <c r="H73" s="29"/>
      <c r="I73" s="53">
        <v>0</v>
      </c>
      <c r="J73" s="53">
        <v>0</v>
      </c>
      <c r="K73" s="53">
        <v>0</v>
      </c>
      <c r="L73" s="53">
        <v>0</v>
      </c>
      <c r="M73" s="53">
        <v>0</v>
      </c>
      <c r="N73" s="57">
        <f t="shared" si="12"/>
        <v>0</v>
      </c>
      <c r="O73" s="76"/>
    </row>
    <row r="74" spans="2:15" s="27" customFormat="1" ht="12" customHeight="1" x14ac:dyDescent="0.2">
      <c r="B74" s="110"/>
      <c r="E74" s="90" t="s">
        <v>49</v>
      </c>
      <c r="F74" s="36"/>
      <c r="G74" s="78">
        <v>2</v>
      </c>
      <c r="H74" s="29"/>
      <c r="I74" s="53">
        <v>130815.54404145078</v>
      </c>
      <c r="J74" s="53">
        <v>14284.455958549222</v>
      </c>
      <c r="K74" s="53">
        <v>0</v>
      </c>
      <c r="L74" s="53">
        <v>0</v>
      </c>
      <c r="M74" s="53">
        <v>0</v>
      </c>
      <c r="N74" s="57">
        <f t="shared" si="12"/>
        <v>145100</v>
      </c>
      <c r="O74" s="166" t="s">
        <v>318</v>
      </c>
    </row>
    <row r="75" spans="2:15" s="27" customFormat="1" ht="12" customHeight="1" x14ac:dyDescent="0.2">
      <c r="B75" s="110"/>
      <c r="E75" s="90" t="s">
        <v>308</v>
      </c>
      <c r="F75" s="37"/>
      <c r="G75" s="78">
        <v>0</v>
      </c>
      <c r="H75" s="29"/>
      <c r="I75" s="53">
        <v>72214.868393782381</v>
      </c>
      <c r="J75" s="53">
        <v>7885.5316062176171</v>
      </c>
      <c r="K75" s="53">
        <v>0</v>
      </c>
      <c r="L75" s="53">
        <v>0</v>
      </c>
      <c r="M75" s="53">
        <v>0</v>
      </c>
      <c r="N75" s="57">
        <f>SUM(I75:M75)</f>
        <v>80100.399999999994</v>
      </c>
      <c r="O75" s="166" t="s">
        <v>320</v>
      </c>
    </row>
    <row r="76" spans="2:15" s="27" customFormat="1" ht="12" customHeight="1" x14ac:dyDescent="0.2">
      <c r="B76" s="110"/>
      <c r="E76" s="130" t="s">
        <v>50</v>
      </c>
      <c r="F76" s="132"/>
      <c r="G76" s="54">
        <f>SUM(G68:G75)</f>
        <v>41</v>
      </c>
      <c r="H76" s="29"/>
      <c r="I76" s="54">
        <f t="shared" ref="I76:N76" si="13">SUM(I68:I75)</f>
        <v>2474322.7336787563</v>
      </c>
      <c r="J76" s="54">
        <f t="shared" si="13"/>
        <v>270184.66632124351</v>
      </c>
      <c r="K76" s="54">
        <f t="shared" si="13"/>
        <v>0</v>
      </c>
      <c r="L76" s="54">
        <f t="shared" si="13"/>
        <v>0</v>
      </c>
      <c r="M76" s="54">
        <f t="shared" si="13"/>
        <v>0</v>
      </c>
      <c r="N76" s="58">
        <f t="shared" si="13"/>
        <v>2744507.4</v>
      </c>
      <c r="O76" s="76"/>
    </row>
    <row r="77" spans="2:15" s="27" customFormat="1" ht="7.5" customHeight="1" x14ac:dyDescent="0.2">
      <c r="B77" s="110"/>
      <c r="D77" s="35"/>
      <c r="E77" s="35"/>
      <c r="F77" s="36"/>
      <c r="G77" s="36"/>
      <c r="H77" s="29"/>
      <c r="I77" s="29"/>
      <c r="J77" s="29"/>
      <c r="K77" s="29"/>
      <c r="L77" s="29"/>
      <c r="M77" s="29"/>
      <c r="N77" s="29"/>
      <c r="O77" s="64"/>
    </row>
    <row r="78" spans="2:15" s="27" customFormat="1" ht="12" customHeight="1" x14ac:dyDescent="0.2">
      <c r="B78" s="110"/>
      <c r="E78" s="22" t="s">
        <v>51</v>
      </c>
      <c r="F78" s="17"/>
      <c r="G78" s="17"/>
      <c r="H78" s="29"/>
      <c r="I78" s="29"/>
      <c r="J78" s="29"/>
      <c r="K78" s="29"/>
      <c r="L78" s="29"/>
      <c r="M78" s="29"/>
      <c r="N78" s="29"/>
      <c r="O78" s="64"/>
    </row>
    <row r="79" spans="2:15" s="27" customFormat="1" ht="12" customHeight="1" x14ac:dyDescent="0.2">
      <c r="B79" s="110"/>
      <c r="E79" s="90" t="s">
        <v>52</v>
      </c>
      <c r="F79" s="36"/>
      <c r="G79" s="78">
        <v>0</v>
      </c>
      <c r="H79" s="29"/>
      <c r="I79" s="53">
        <v>0</v>
      </c>
      <c r="J79" s="53">
        <v>0</v>
      </c>
      <c r="K79" s="53">
        <v>0</v>
      </c>
      <c r="L79" s="53">
        <v>0</v>
      </c>
      <c r="M79" s="53">
        <v>0</v>
      </c>
      <c r="N79" s="57">
        <f>SUM(I79:M79)</f>
        <v>0</v>
      </c>
      <c r="O79" s="76"/>
    </row>
    <row r="80" spans="2:15" s="27" customFormat="1" ht="12" customHeight="1" x14ac:dyDescent="0.2">
      <c r="B80" s="110"/>
      <c r="E80" s="90" t="s">
        <v>53</v>
      </c>
      <c r="F80" s="36"/>
      <c r="G80" s="78">
        <v>0</v>
      </c>
      <c r="H80" s="29"/>
      <c r="I80" s="53">
        <v>0</v>
      </c>
      <c r="J80" s="53">
        <v>0</v>
      </c>
      <c r="K80" s="53">
        <v>0</v>
      </c>
      <c r="L80" s="53">
        <v>0</v>
      </c>
      <c r="M80" s="53">
        <v>0</v>
      </c>
      <c r="N80" s="57">
        <f>SUM(I80:M80)</f>
        <v>0</v>
      </c>
      <c r="O80" s="76"/>
    </row>
    <row r="81" spans="2:15" s="27" customFormat="1" ht="12" customHeight="1" x14ac:dyDescent="0.2">
      <c r="B81" s="110"/>
      <c r="E81" s="90" t="s">
        <v>54</v>
      </c>
      <c r="F81" s="36"/>
      <c r="G81" s="78">
        <v>2</v>
      </c>
      <c r="H81" s="29"/>
      <c r="I81" s="53">
        <v>0</v>
      </c>
      <c r="J81" s="53">
        <v>0</v>
      </c>
      <c r="K81" s="53">
        <v>0</v>
      </c>
      <c r="L81" s="53">
        <v>0</v>
      </c>
      <c r="M81" s="53">
        <v>74505</v>
      </c>
      <c r="N81" s="57">
        <f>SUM(I81:M81)</f>
        <v>74505</v>
      </c>
      <c r="O81" s="166" t="s">
        <v>319</v>
      </c>
    </row>
    <row r="82" spans="2:15" s="27" customFormat="1" ht="12" customHeight="1" x14ac:dyDescent="0.2">
      <c r="B82" s="110"/>
      <c r="E82" s="90" t="s">
        <v>55</v>
      </c>
      <c r="F82" s="36"/>
      <c r="G82" s="78">
        <v>0</v>
      </c>
      <c r="H82" s="29"/>
      <c r="I82" s="53">
        <v>0</v>
      </c>
      <c r="J82" s="53">
        <v>0</v>
      </c>
      <c r="K82" s="53">
        <v>0</v>
      </c>
      <c r="L82" s="53">
        <v>0</v>
      </c>
      <c r="M82" s="53">
        <v>0</v>
      </c>
      <c r="N82" s="57">
        <f>SUM(I82:M82)</f>
        <v>0</v>
      </c>
      <c r="O82" s="76"/>
    </row>
    <row r="83" spans="2:15" s="27" customFormat="1" ht="12" customHeight="1" x14ac:dyDescent="0.2">
      <c r="B83" s="110"/>
      <c r="E83" s="90" t="s">
        <v>15</v>
      </c>
      <c r="F83" s="37"/>
      <c r="G83" s="78">
        <v>0</v>
      </c>
      <c r="H83" s="29"/>
      <c r="I83" s="53">
        <v>0</v>
      </c>
      <c r="J83" s="53">
        <v>0</v>
      </c>
      <c r="K83" s="53">
        <v>0</v>
      </c>
      <c r="L83" s="53">
        <v>0</v>
      </c>
      <c r="M83" s="53">
        <v>0</v>
      </c>
      <c r="N83" s="57">
        <f>SUM(I83:M83)</f>
        <v>0</v>
      </c>
      <c r="O83" s="76"/>
    </row>
    <row r="84" spans="2:15" s="27" customFormat="1" ht="12" customHeight="1" x14ac:dyDescent="0.2">
      <c r="B84" s="110"/>
      <c r="E84" s="38" t="s">
        <v>56</v>
      </c>
      <c r="F84" s="36"/>
      <c r="G84" s="54">
        <f>SUM(G79:G83)</f>
        <v>2</v>
      </c>
      <c r="H84" s="29"/>
      <c r="I84" s="54">
        <f t="shared" ref="I84:N84" si="14">SUM(I79:I83)</f>
        <v>0</v>
      </c>
      <c r="J84" s="54">
        <f t="shared" si="14"/>
        <v>0</v>
      </c>
      <c r="K84" s="54">
        <f t="shared" si="14"/>
        <v>0</v>
      </c>
      <c r="L84" s="54">
        <f t="shared" si="14"/>
        <v>0</v>
      </c>
      <c r="M84" s="54">
        <f t="shared" si="14"/>
        <v>74505</v>
      </c>
      <c r="N84" s="58">
        <f t="shared" si="14"/>
        <v>74505</v>
      </c>
      <c r="O84" s="76"/>
    </row>
    <row r="85" spans="2:15" s="27" customFormat="1" ht="7.5" customHeight="1" x14ac:dyDescent="0.2">
      <c r="B85" s="110"/>
      <c r="D85" s="35"/>
      <c r="E85" s="35"/>
      <c r="F85" s="36"/>
      <c r="G85" s="36"/>
      <c r="H85" s="29"/>
      <c r="I85" s="29"/>
      <c r="J85" s="29"/>
      <c r="K85" s="29"/>
      <c r="L85" s="29"/>
      <c r="M85" s="29"/>
      <c r="N85" s="29"/>
      <c r="O85" s="64"/>
    </row>
    <row r="86" spans="2:15" s="27" customFormat="1" ht="12" customHeight="1" x14ac:dyDescent="0.2">
      <c r="B86" s="110"/>
      <c r="D86" s="30"/>
      <c r="E86" s="38" t="s">
        <v>57</v>
      </c>
      <c r="F86" s="29"/>
      <c r="G86" s="54">
        <f>G65+G76+G84</f>
        <v>60.8</v>
      </c>
      <c r="H86" s="29"/>
      <c r="I86" s="54">
        <f t="shared" ref="I86:N86" si="15">I65+I76+I84</f>
        <v>3379077.0842124349</v>
      </c>
      <c r="J86" s="54">
        <f t="shared" si="15"/>
        <v>393029.00878756476</v>
      </c>
      <c r="K86" s="54">
        <f t="shared" si="15"/>
        <v>0</v>
      </c>
      <c r="L86" s="54">
        <f t="shared" si="15"/>
        <v>8769.2219999999998</v>
      </c>
      <c r="M86" s="54">
        <f t="shared" si="15"/>
        <v>453357.30499999999</v>
      </c>
      <c r="N86" s="58">
        <f t="shared" si="15"/>
        <v>4234232.62</v>
      </c>
      <c r="O86" s="76"/>
    </row>
    <row r="87" spans="2:15" s="27" customFormat="1" ht="7.5" customHeight="1" x14ac:dyDescent="0.2">
      <c r="B87" s="110"/>
      <c r="D87" s="35"/>
      <c r="E87" s="35"/>
      <c r="F87" s="36"/>
      <c r="G87" s="36"/>
      <c r="H87" s="29"/>
      <c r="I87" s="29"/>
      <c r="J87" s="29"/>
      <c r="K87" s="29"/>
      <c r="L87" s="29"/>
      <c r="M87" s="29"/>
      <c r="N87" s="29"/>
      <c r="O87" s="64"/>
    </row>
    <row r="88" spans="2:15" s="27" customFormat="1" ht="12" customHeight="1" x14ac:dyDescent="0.2">
      <c r="B88" s="110"/>
      <c r="D88" s="30"/>
      <c r="E88" s="22" t="s">
        <v>58</v>
      </c>
      <c r="F88" s="17"/>
      <c r="G88" s="17"/>
      <c r="H88" s="29"/>
      <c r="I88" s="29"/>
      <c r="J88" s="29"/>
      <c r="K88" s="29"/>
      <c r="L88" s="29"/>
      <c r="M88" s="29"/>
      <c r="N88" s="29"/>
      <c r="O88" s="64"/>
    </row>
    <row r="89" spans="2:15" s="27" customFormat="1" ht="12" customHeight="1" x14ac:dyDescent="0.2">
      <c r="B89" s="110"/>
      <c r="E89" s="90" t="s">
        <v>59</v>
      </c>
      <c r="F89" s="17"/>
      <c r="G89" s="17"/>
      <c r="H89" s="29"/>
      <c r="I89" s="53">
        <v>283928.06454884028</v>
      </c>
      <c r="J89" s="53">
        <v>33024.391866636353</v>
      </c>
      <c r="K89" s="53">
        <v>0</v>
      </c>
      <c r="L89" s="53">
        <v>736.83676578198481</v>
      </c>
      <c r="M89" s="53">
        <v>38093.496818741361</v>
      </c>
      <c r="N89" s="57">
        <f>SUM(I89:M89)</f>
        <v>355782.79</v>
      </c>
      <c r="O89" s="76"/>
    </row>
    <row r="90" spans="2:15" s="27" customFormat="1" ht="12" customHeight="1" x14ac:dyDescent="0.2">
      <c r="B90" s="110"/>
      <c r="E90" s="55" t="s">
        <v>60</v>
      </c>
      <c r="F90" s="17"/>
      <c r="G90" s="17"/>
      <c r="H90" s="29"/>
      <c r="I90" s="53">
        <v>509132.71156989189</v>
      </c>
      <c r="J90" s="53">
        <v>59218.514399850741</v>
      </c>
      <c r="K90" s="53">
        <v>0</v>
      </c>
      <c r="L90" s="53">
        <v>1321.2772789582402</v>
      </c>
      <c r="M90" s="53">
        <v>68308.306751299126</v>
      </c>
      <c r="N90" s="57">
        <f>SUM(I90:M90)</f>
        <v>637980.81000000006</v>
      </c>
      <c r="O90" s="76"/>
    </row>
    <row r="91" spans="2:15" s="27" customFormat="1" ht="12" customHeight="1" x14ac:dyDescent="0.2">
      <c r="B91" s="110"/>
      <c r="E91" s="90" t="s">
        <v>61</v>
      </c>
      <c r="F91" s="17"/>
      <c r="G91" s="17"/>
      <c r="H91" s="29"/>
      <c r="I91" s="53">
        <v>0</v>
      </c>
      <c r="J91" s="53">
        <v>0</v>
      </c>
      <c r="K91" s="53">
        <v>0</v>
      </c>
      <c r="L91" s="53">
        <v>0</v>
      </c>
      <c r="M91" s="53">
        <v>0</v>
      </c>
      <c r="N91" s="57">
        <f>SUM(I91:M91)</f>
        <v>0</v>
      </c>
      <c r="O91" s="76"/>
    </row>
    <row r="92" spans="2:15" s="27" customFormat="1" ht="12" customHeight="1" x14ac:dyDescent="0.2">
      <c r="B92" s="110"/>
      <c r="D92" s="30"/>
      <c r="E92" s="130" t="s">
        <v>62</v>
      </c>
      <c r="F92" s="131"/>
      <c r="G92" s="131"/>
      <c r="H92" s="84"/>
      <c r="I92" s="54">
        <f t="shared" ref="I92:N92" si="16">SUM(I88:I91)</f>
        <v>793060.77611873217</v>
      </c>
      <c r="J92" s="54">
        <f t="shared" si="16"/>
        <v>92242.906266487087</v>
      </c>
      <c r="K92" s="54">
        <f t="shared" si="16"/>
        <v>0</v>
      </c>
      <c r="L92" s="54">
        <f t="shared" si="16"/>
        <v>2058.1140447402249</v>
      </c>
      <c r="M92" s="54">
        <f t="shared" si="16"/>
        <v>106401.80357004049</v>
      </c>
      <c r="N92" s="58">
        <f t="shared" si="16"/>
        <v>993763.60000000009</v>
      </c>
      <c r="O92" s="76"/>
    </row>
    <row r="93" spans="2:15" s="27" customFormat="1" ht="7.5" customHeight="1" x14ac:dyDescent="0.2">
      <c r="B93" s="110"/>
      <c r="D93" s="35"/>
      <c r="E93" s="35"/>
      <c r="F93" s="36"/>
      <c r="G93" s="36"/>
      <c r="H93" s="29"/>
      <c r="I93" s="29"/>
      <c r="J93" s="29"/>
      <c r="K93" s="29"/>
      <c r="L93" s="29"/>
      <c r="M93" s="29"/>
      <c r="N93" s="29"/>
      <c r="O93" s="64"/>
    </row>
    <row r="94" spans="2:15" s="27" customFormat="1" ht="12" customHeight="1" x14ac:dyDescent="0.2">
      <c r="B94" s="110"/>
      <c r="D94" s="30"/>
      <c r="E94" s="38" t="s">
        <v>63</v>
      </c>
      <c r="F94" s="29"/>
      <c r="G94" s="39"/>
      <c r="H94" s="29"/>
      <c r="I94" s="54">
        <f t="shared" ref="I94:N94" si="17">I86+I92</f>
        <v>4172137.860331167</v>
      </c>
      <c r="J94" s="54">
        <f t="shared" si="17"/>
        <v>485271.91505405185</v>
      </c>
      <c r="K94" s="54">
        <f t="shared" si="17"/>
        <v>0</v>
      </c>
      <c r="L94" s="54">
        <f t="shared" si="17"/>
        <v>10827.336044740225</v>
      </c>
      <c r="M94" s="54">
        <f t="shared" si="17"/>
        <v>559759.10857004044</v>
      </c>
      <c r="N94" s="58">
        <f t="shared" si="17"/>
        <v>5227996.2200000007</v>
      </c>
      <c r="O94" s="76"/>
    </row>
    <row r="95" spans="2:15" s="27" customFormat="1" ht="7.5" customHeight="1" x14ac:dyDescent="0.2">
      <c r="B95" s="110"/>
      <c r="E95" s="35"/>
      <c r="F95" s="36"/>
      <c r="G95" s="36"/>
      <c r="H95" s="29"/>
      <c r="I95" s="29"/>
      <c r="J95" s="29"/>
      <c r="K95" s="29"/>
      <c r="L95" s="29"/>
      <c r="M95" s="29"/>
      <c r="N95" s="29"/>
      <c r="O95" s="64"/>
    </row>
    <row r="96" spans="2:15" s="27" customFormat="1" ht="12" customHeight="1" x14ac:dyDescent="0.2">
      <c r="B96" s="110"/>
      <c r="E96" s="22" t="s">
        <v>64</v>
      </c>
      <c r="F96" s="36"/>
      <c r="G96" s="36"/>
      <c r="H96" s="29"/>
      <c r="I96" s="29"/>
      <c r="J96" s="29"/>
      <c r="K96" s="29"/>
      <c r="L96" s="29"/>
      <c r="M96" s="29"/>
      <c r="N96" s="29"/>
      <c r="O96" s="64"/>
    </row>
    <row r="97" spans="2:15" s="27" customFormat="1" ht="12" customHeight="1" x14ac:dyDescent="0.2">
      <c r="B97" s="110"/>
      <c r="E97" s="88" t="s">
        <v>65</v>
      </c>
      <c r="F97" s="36"/>
      <c r="G97" s="36"/>
      <c r="H97" s="29"/>
      <c r="I97" s="53">
        <v>0</v>
      </c>
      <c r="J97" s="53">
        <v>0</v>
      </c>
      <c r="K97" s="53">
        <v>0</v>
      </c>
      <c r="L97" s="53">
        <v>0</v>
      </c>
      <c r="M97" s="53">
        <v>24000</v>
      </c>
      <c r="N97" s="57">
        <f t="shared" ref="N97:N105" si="18">SUM(I97:M97)</f>
        <v>24000</v>
      </c>
      <c r="O97" s="76"/>
    </row>
    <row r="98" spans="2:15" s="27" customFormat="1" ht="12" customHeight="1" x14ac:dyDescent="0.2">
      <c r="B98" s="110"/>
      <c r="E98" s="90" t="s">
        <v>66</v>
      </c>
      <c r="F98" s="36"/>
      <c r="G98" s="36"/>
      <c r="H98" s="29"/>
      <c r="I98" s="53">
        <v>11970.564872552168</v>
      </c>
      <c r="J98" s="53">
        <v>1392.3267002306245</v>
      </c>
      <c r="K98" s="53">
        <v>0</v>
      </c>
      <c r="L98" s="53">
        <v>31.065447226184748</v>
      </c>
      <c r="M98" s="53">
        <v>1606.0429799910235</v>
      </c>
      <c r="N98" s="57">
        <f t="shared" si="18"/>
        <v>15000</v>
      </c>
      <c r="O98" s="76"/>
    </row>
    <row r="99" spans="2:15" s="27" customFormat="1" ht="12" customHeight="1" x14ac:dyDescent="0.2">
      <c r="B99" s="110"/>
      <c r="E99" s="90" t="s">
        <v>67</v>
      </c>
      <c r="F99" s="36"/>
      <c r="G99" s="36"/>
      <c r="H99" s="29"/>
      <c r="I99" s="53">
        <v>0</v>
      </c>
      <c r="J99" s="53">
        <v>0</v>
      </c>
      <c r="K99" s="53">
        <v>0</v>
      </c>
      <c r="L99" s="53">
        <v>0</v>
      </c>
      <c r="M99" s="53">
        <v>0</v>
      </c>
      <c r="N99" s="57">
        <f t="shared" si="18"/>
        <v>0</v>
      </c>
      <c r="O99" s="76"/>
    </row>
    <row r="100" spans="2:15" s="27" customFormat="1" ht="12" customHeight="1" x14ac:dyDescent="0.2">
      <c r="B100" s="110"/>
      <c r="E100" s="90" t="s">
        <v>68</v>
      </c>
      <c r="F100" s="36"/>
      <c r="G100" s="36"/>
      <c r="H100" s="29"/>
      <c r="I100" s="53">
        <v>0</v>
      </c>
      <c r="J100" s="53">
        <v>0</v>
      </c>
      <c r="K100" s="53">
        <v>0</v>
      </c>
      <c r="L100" s="53">
        <v>0</v>
      </c>
      <c r="M100" s="53">
        <v>0</v>
      </c>
      <c r="N100" s="57">
        <f t="shared" si="18"/>
        <v>0</v>
      </c>
      <c r="O100" s="76"/>
    </row>
    <row r="101" spans="2:15" s="27" customFormat="1" ht="12" customHeight="1" x14ac:dyDescent="0.2">
      <c r="B101" s="110"/>
      <c r="E101" s="90" t="s">
        <v>69</v>
      </c>
      <c r="F101" s="36"/>
      <c r="G101" s="36"/>
      <c r="H101" s="29"/>
      <c r="I101" s="53">
        <v>0</v>
      </c>
      <c r="J101" s="53">
        <v>0</v>
      </c>
      <c r="K101" s="53">
        <v>0</v>
      </c>
      <c r="L101" s="53">
        <v>0</v>
      </c>
      <c r="M101" s="53">
        <v>0</v>
      </c>
      <c r="N101" s="57">
        <f t="shared" si="18"/>
        <v>0</v>
      </c>
      <c r="O101" s="76"/>
    </row>
    <row r="102" spans="2:15" s="27" customFormat="1" ht="12" customHeight="1" x14ac:dyDescent="0.2">
      <c r="B102" s="110"/>
      <c r="E102" s="90" t="s">
        <v>70</v>
      </c>
      <c r="F102" s="36"/>
      <c r="G102" s="36"/>
      <c r="H102" s="29"/>
      <c r="I102" s="53">
        <v>0</v>
      </c>
      <c r="J102" s="53">
        <v>0</v>
      </c>
      <c r="K102" s="53">
        <v>0</v>
      </c>
      <c r="L102" s="53">
        <v>0</v>
      </c>
      <c r="M102" s="53">
        <v>6000</v>
      </c>
      <c r="N102" s="57">
        <f t="shared" si="18"/>
        <v>6000</v>
      </c>
      <c r="O102" s="76"/>
    </row>
    <row r="103" spans="2:15" s="27" customFormat="1" ht="12" customHeight="1" x14ac:dyDescent="0.2">
      <c r="B103" s="110"/>
      <c r="E103" s="90" t="s">
        <v>71</v>
      </c>
      <c r="F103" s="36"/>
      <c r="G103" s="36"/>
      <c r="H103" s="29"/>
      <c r="I103" s="53">
        <v>0</v>
      </c>
      <c r="J103" s="53">
        <v>0</v>
      </c>
      <c r="K103" s="53">
        <v>0</v>
      </c>
      <c r="L103" s="53">
        <v>0</v>
      </c>
      <c r="M103" s="53">
        <v>0</v>
      </c>
      <c r="N103" s="57">
        <f t="shared" si="18"/>
        <v>0</v>
      </c>
      <c r="O103" s="76"/>
    </row>
    <row r="104" spans="2:15" s="27" customFormat="1" ht="12" customHeight="1" x14ac:dyDescent="0.2">
      <c r="B104" s="110"/>
      <c r="E104" s="90" t="s">
        <v>72</v>
      </c>
      <c r="F104" s="36"/>
      <c r="G104" s="36"/>
      <c r="H104" s="29"/>
      <c r="I104" s="53">
        <v>0</v>
      </c>
      <c r="J104" s="53">
        <v>0</v>
      </c>
      <c r="K104" s="53">
        <v>0</v>
      </c>
      <c r="L104" s="53">
        <v>0</v>
      </c>
      <c r="M104" s="53">
        <v>0</v>
      </c>
      <c r="N104" s="57">
        <f t="shared" si="18"/>
        <v>0</v>
      </c>
      <c r="O104" s="76"/>
    </row>
    <row r="105" spans="2:15" s="27" customFormat="1" ht="12" customHeight="1" x14ac:dyDescent="0.2">
      <c r="B105" s="110"/>
      <c r="E105" s="88" t="s">
        <v>73</v>
      </c>
      <c r="F105" s="36"/>
      <c r="G105" s="36"/>
      <c r="H105" s="29"/>
      <c r="I105" s="53">
        <v>84325.299608720627</v>
      </c>
      <c r="J105" s="53">
        <v>9310.1702786187197</v>
      </c>
      <c r="K105" s="53">
        <v>0</v>
      </c>
      <c r="L105" s="53">
        <v>37.278536671421698</v>
      </c>
      <c r="M105" s="53">
        <v>165927.25157598921</v>
      </c>
      <c r="N105" s="57">
        <f t="shared" si="18"/>
        <v>259600</v>
      </c>
      <c r="O105" s="76"/>
    </row>
    <row r="106" spans="2:15" s="27" customFormat="1" ht="12" customHeight="1" x14ac:dyDescent="0.2">
      <c r="B106" s="110"/>
      <c r="E106" s="130" t="s">
        <v>74</v>
      </c>
      <c r="F106" s="132"/>
      <c r="G106" s="132"/>
      <c r="H106" s="86"/>
      <c r="I106" s="54">
        <f t="shared" ref="I106:N106" si="19">SUM(I97:I105)</f>
        <v>96295.864481272787</v>
      </c>
      <c r="J106" s="54">
        <f t="shared" si="19"/>
        <v>10702.496978849344</v>
      </c>
      <c r="K106" s="54">
        <f t="shared" si="19"/>
        <v>0</v>
      </c>
      <c r="L106" s="54">
        <f t="shared" si="19"/>
        <v>68.343983897606449</v>
      </c>
      <c r="M106" s="54">
        <f t="shared" si="19"/>
        <v>197533.29455598025</v>
      </c>
      <c r="N106" s="58">
        <f t="shared" si="19"/>
        <v>304600</v>
      </c>
      <c r="O106" s="76"/>
    </row>
    <row r="107" spans="2:15" s="27" customFormat="1" ht="7.5" customHeight="1" x14ac:dyDescent="0.2">
      <c r="B107" s="110"/>
      <c r="D107" s="35"/>
      <c r="E107" s="35"/>
      <c r="F107" s="36"/>
      <c r="G107" s="36"/>
      <c r="H107" s="29"/>
      <c r="I107" s="29"/>
      <c r="J107" s="29"/>
      <c r="K107" s="29"/>
      <c r="L107" s="29"/>
      <c r="M107" s="29"/>
      <c r="N107" s="29"/>
      <c r="O107" s="64"/>
    </row>
    <row r="108" spans="2:15" s="27" customFormat="1" ht="12" customHeight="1" x14ac:dyDescent="0.2">
      <c r="B108" s="110"/>
      <c r="D108" s="35"/>
      <c r="E108" s="22" t="s">
        <v>75</v>
      </c>
      <c r="F108" s="36"/>
      <c r="G108" s="36"/>
      <c r="H108" s="29"/>
      <c r="I108" s="29"/>
      <c r="J108" s="29"/>
      <c r="K108" s="29"/>
      <c r="L108" s="29"/>
      <c r="M108" s="29"/>
      <c r="N108" s="29"/>
      <c r="O108" s="64"/>
    </row>
    <row r="109" spans="2:15" s="27" customFormat="1" ht="12" customHeight="1" x14ac:dyDescent="0.2">
      <c r="B109" s="110"/>
      <c r="E109" s="90" t="s">
        <v>76</v>
      </c>
      <c r="F109" s="17"/>
      <c r="G109" s="17"/>
      <c r="H109" s="29"/>
      <c r="I109" s="53">
        <v>798.03765817014448</v>
      </c>
      <c r="J109" s="53">
        <v>92.821780015374969</v>
      </c>
      <c r="K109" s="53">
        <v>0</v>
      </c>
      <c r="L109" s="53">
        <v>2.0710298150789832</v>
      </c>
      <c r="M109" s="53">
        <v>107.06953199940158</v>
      </c>
      <c r="N109" s="57">
        <f t="shared" ref="N109:N128" si="20">SUM(I109:M109)</f>
        <v>1000</v>
      </c>
      <c r="O109" s="76"/>
    </row>
    <row r="110" spans="2:15" s="27" customFormat="1" ht="12" customHeight="1" x14ac:dyDescent="0.2">
      <c r="B110" s="110"/>
      <c r="E110" s="90" t="s">
        <v>77</v>
      </c>
      <c r="F110" s="17"/>
      <c r="G110" s="17"/>
      <c r="H110" s="29"/>
      <c r="I110" s="53">
        <v>155518.1347150259</v>
      </c>
      <c r="J110" s="53">
        <v>16981.865284974097</v>
      </c>
      <c r="K110" s="53">
        <v>0</v>
      </c>
      <c r="L110" s="53">
        <v>0</v>
      </c>
      <c r="M110" s="53">
        <v>0</v>
      </c>
      <c r="N110" s="57">
        <f t="shared" si="20"/>
        <v>172500</v>
      </c>
      <c r="O110" s="76"/>
    </row>
    <row r="111" spans="2:15" s="27" customFormat="1" ht="12" customHeight="1" x14ac:dyDescent="0.2">
      <c r="B111" s="110"/>
      <c r="E111" s="90" t="s">
        <v>78</v>
      </c>
      <c r="F111" s="17"/>
      <c r="G111" s="17"/>
      <c r="H111" s="29"/>
      <c r="I111" s="53">
        <v>0</v>
      </c>
      <c r="J111" s="53">
        <v>0</v>
      </c>
      <c r="K111" s="53">
        <v>0</v>
      </c>
      <c r="L111" s="53">
        <v>0</v>
      </c>
      <c r="M111" s="53">
        <v>0</v>
      </c>
      <c r="N111" s="57">
        <f t="shared" si="20"/>
        <v>0</v>
      </c>
      <c r="O111" s="76"/>
    </row>
    <row r="112" spans="2:15" s="27" customFormat="1" ht="12" customHeight="1" x14ac:dyDescent="0.2">
      <c r="B112" s="110"/>
      <c r="E112" s="90" t="s">
        <v>79</v>
      </c>
      <c r="F112" s="17"/>
      <c r="G112" s="17"/>
      <c r="H112" s="29"/>
      <c r="I112" s="53">
        <v>26732.891191709841</v>
      </c>
      <c r="J112" s="53">
        <v>2919.1088082901556</v>
      </c>
      <c r="K112" s="53">
        <v>0</v>
      </c>
      <c r="L112" s="53">
        <v>0</v>
      </c>
      <c r="M112" s="53">
        <v>0</v>
      </c>
      <c r="N112" s="57">
        <f t="shared" si="20"/>
        <v>29651.999999999996</v>
      </c>
      <c r="O112" s="76"/>
    </row>
    <row r="113" spans="2:15" s="27" customFormat="1" ht="12" customHeight="1" x14ac:dyDescent="0.2">
      <c r="B113" s="110"/>
      <c r="E113" s="88" t="s">
        <v>80</v>
      </c>
      <c r="F113" s="17"/>
      <c r="G113" s="17"/>
      <c r="H113" s="29"/>
      <c r="I113" s="53">
        <v>0</v>
      </c>
      <c r="J113" s="53">
        <v>0</v>
      </c>
      <c r="K113" s="53">
        <v>0</v>
      </c>
      <c r="L113" s="53">
        <v>0</v>
      </c>
      <c r="M113" s="53">
        <v>0</v>
      </c>
      <c r="N113" s="57">
        <f t="shared" si="20"/>
        <v>0</v>
      </c>
      <c r="O113" s="76"/>
    </row>
    <row r="114" spans="2:15" s="27" customFormat="1" ht="12" customHeight="1" x14ac:dyDescent="0.2">
      <c r="B114" s="110"/>
      <c r="E114" s="164" t="s">
        <v>310</v>
      </c>
      <c r="F114" s="17"/>
      <c r="G114" s="17"/>
      <c r="H114" s="29"/>
      <c r="I114" s="53">
        <v>0</v>
      </c>
      <c r="J114" s="53">
        <v>0</v>
      </c>
      <c r="K114" s="53">
        <v>0</v>
      </c>
      <c r="L114" s="53">
        <v>0</v>
      </c>
      <c r="M114" s="53">
        <v>0</v>
      </c>
      <c r="N114" s="57">
        <f t="shared" si="20"/>
        <v>0</v>
      </c>
      <c r="O114" s="76"/>
    </row>
    <row r="115" spans="2:15" s="27" customFormat="1" ht="12" customHeight="1" x14ac:dyDescent="0.2">
      <c r="B115" s="110"/>
      <c r="E115" s="90" t="s">
        <v>81</v>
      </c>
      <c r="F115" s="17"/>
      <c r="G115" s="17"/>
      <c r="H115" s="29"/>
      <c r="I115" s="53">
        <v>11491.742277650081</v>
      </c>
      <c r="J115" s="53">
        <v>1336.6336322213997</v>
      </c>
      <c r="K115" s="53">
        <v>0</v>
      </c>
      <c r="L115" s="53">
        <v>29.822829337137357</v>
      </c>
      <c r="M115" s="53">
        <v>1541.8012607913827</v>
      </c>
      <c r="N115" s="57">
        <f t="shared" si="20"/>
        <v>14400</v>
      </c>
      <c r="O115" s="76"/>
    </row>
    <row r="116" spans="2:15" s="27" customFormat="1" ht="12" customHeight="1" x14ac:dyDescent="0.2">
      <c r="B116" s="110"/>
      <c r="E116" s="88" t="s">
        <v>82</v>
      </c>
      <c r="F116" s="17"/>
      <c r="G116" s="17"/>
      <c r="H116" s="29"/>
      <c r="I116" s="53">
        <v>63044.974995441415</v>
      </c>
      <c r="J116" s="53">
        <v>7332.9206212146228</v>
      </c>
      <c r="K116" s="53">
        <v>0</v>
      </c>
      <c r="L116" s="53">
        <v>163.6113553912397</v>
      </c>
      <c r="M116" s="53">
        <v>8458.4930279527234</v>
      </c>
      <c r="N116" s="57">
        <f t="shared" si="20"/>
        <v>79000</v>
      </c>
      <c r="O116" s="76"/>
    </row>
    <row r="117" spans="2:15" s="27" customFormat="1" ht="12" customHeight="1" x14ac:dyDescent="0.2">
      <c r="B117" s="110"/>
      <c r="E117" s="90" t="s">
        <v>83</v>
      </c>
      <c r="F117" s="17"/>
      <c r="G117" s="17"/>
      <c r="H117" s="29"/>
      <c r="I117" s="53">
        <v>13523.316062176165</v>
      </c>
      <c r="J117" s="53">
        <v>1476.6839378238342</v>
      </c>
      <c r="K117" s="53">
        <v>0</v>
      </c>
      <c r="L117" s="53">
        <v>0</v>
      </c>
      <c r="M117" s="53">
        <v>0</v>
      </c>
      <c r="N117" s="57">
        <f t="shared" si="20"/>
        <v>15000</v>
      </c>
      <c r="O117" s="76"/>
    </row>
    <row r="118" spans="2:15" s="27" customFormat="1" ht="12" customHeight="1" x14ac:dyDescent="0.2">
      <c r="B118" s="110"/>
      <c r="E118" s="90" t="s">
        <v>84</v>
      </c>
      <c r="F118" s="17"/>
      <c r="G118" s="17"/>
      <c r="H118" s="29"/>
      <c r="I118" s="53">
        <v>18031.088082901555</v>
      </c>
      <c r="J118" s="53">
        <v>1968.9119170984457</v>
      </c>
      <c r="K118" s="53">
        <v>0</v>
      </c>
      <c r="L118" s="53">
        <v>0</v>
      </c>
      <c r="M118" s="53">
        <v>0</v>
      </c>
      <c r="N118" s="57">
        <f t="shared" si="20"/>
        <v>20000</v>
      </c>
      <c r="O118" s="76"/>
    </row>
    <row r="119" spans="2:15" s="27" customFormat="1" ht="12" customHeight="1" x14ac:dyDescent="0.2">
      <c r="B119" s="110"/>
      <c r="E119" s="90" t="s">
        <v>85</v>
      </c>
      <c r="F119" s="17"/>
      <c r="G119" s="17"/>
      <c r="H119" s="29"/>
      <c r="I119" s="53">
        <v>0</v>
      </c>
      <c r="J119" s="53">
        <v>0</v>
      </c>
      <c r="K119" s="53">
        <v>0</v>
      </c>
      <c r="L119" s="53">
        <v>0</v>
      </c>
      <c r="M119" s="53">
        <v>0</v>
      </c>
      <c r="N119" s="57">
        <f t="shared" si="20"/>
        <v>0</v>
      </c>
      <c r="O119" s="76"/>
    </row>
    <row r="120" spans="2:15" s="27" customFormat="1" ht="12" customHeight="1" x14ac:dyDescent="0.2">
      <c r="B120" s="110"/>
      <c r="E120" s="90" t="s">
        <v>86</v>
      </c>
      <c r="F120" s="17"/>
      <c r="G120" s="17"/>
      <c r="H120" s="29"/>
      <c r="I120" s="53">
        <v>8113.989637305699</v>
      </c>
      <c r="J120" s="53">
        <v>886.01036269430051</v>
      </c>
      <c r="K120" s="53">
        <v>0</v>
      </c>
      <c r="L120" s="53">
        <v>0</v>
      </c>
      <c r="M120" s="53">
        <v>0</v>
      </c>
      <c r="N120" s="57">
        <f t="shared" si="20"/>
        <v>9000</v>
      </c>
      <c r="O120" s="76"/>
    </row>
    <row r="121" spans="2:15" s="27" customFormat="1" ht="12" customHeight="1" x14ac:dyDescent="0.2">
      <c r="B121" s="110"/>
      <c r="E121" s="88" t="s">
        <v>87</v>
      </c>
      <c r="F121" s="17"/>
      <c r="G121" s="17"/>
      <c r="H121" s="29"/>
      <c r="I121" s="53">
        <v>47174.360185528843</v>
      </c>
      <c r="J121" s="53">
        <v>5486.9692409598601</v>
      </c>
      <c r="K121" s="53">
        <v>0</v>
      </c>
      <c r="L121" s="53">
        <v>122.42468190727318</v>
      </c>
      <c r="M121" s="53">
        <v>6329.1958916040248</v>
      </c>
      <c r="N121" s="57">
        <f t="shared" si="20"/>
        <v>59112.95</v>
      </c>
      <c r="O121" s="76"/>
    </row>
    <row r="122" spans="2:15" s="27" customFormat="1" ht="12" customHeight="1" x14ac:dyDescent="0.2">
      <c r="B122" s="110"/>
      <c r="E122" s="88" t="s">
        <v>88</v>
      </c>
      <c r="F122" s="17"/>
      <c r="G122" s="17"/>
      <c r="H122" s="29"/>
      <c r="I122" s="53">
        <v>39401.16767117491</v>
      </c>
      <c r="J122" s="53">
        <v>4416.0210925354786</v>
      </c>
      <c r="K122" s="53">
        <v>0</v>
      </c>
      <c r="L122" s="53">
        <v>41.420596301579664</v>
      </c>
      <c r="M122" s="53">
        <v>2141.3906399880316</v>
      </c>
      <c r="N122" s="57">
        <f t="shared" si="20"/>
        <v>45999.999999999993</v>
      </c>
      <c r="O122" s="76"/>
    </row>
    <row r="123" spans="2:15" s="27" customFormat="1" ht="12" customHeight="1" x14ac:dyDescent="0.2">
      <c r="B123" s="110"/>
      <c r="E123" s="90" t="s">
        <v>89</v>
      </c>
      <c r="F123" s="17"/>
      <c r="G123" s="17"/>
      <c r="H123" s="29"/>
      <c r="I123" s="53">
        <v>7980.3765817014446</v>
      </c>
      <c r="J123" s="53">
        <v>928.21780015374975</v>
      </c>
      <c r="K123" s="53">
        <v>0</v>
      </c>
      <c r="L123" s="53">
        <v>20.710298150789832</v>
      </c>
      <c r="M123" s="53">
        <v>1070.6953199940158</v>
      </c>
      <c r="N123" s="57">
        <f t="shared" si="20"/>
        <v>10000.000000000002</v>
      </c>
      <c r="O123" s="76"/>
    </row>
    <row r="124" spans="2:15" s="27" customFormat="1" ht="12" customHeight="1" x14ac:dyDescent="0.2">
      <c r="B124" s="110"/>
      <c r="E124" s="90" t="s">
        <v>90</v>
      </c>
      <c r="F124" s="17"/>
      <c r="G124" s="17"/>
      <c r="H124" s="29"/>
      <c r="I124" s="53">
        <v>13523.316062176165</v>
      </c>
      <c r="J124" s="53">
        <v>1476.6839378238342</v>
      </c>
      <c r="K124" s="53">
        <v>0</v>
      </c>
      <c r="L124" s="53">
        <v>0</v>
      </c>
      <c r="M124" s="53">
        <v>0</v>
      </c>
      <c r="N124" s="57">
        <f t="shared" si="20"/>
        <v>15000</v>
      </c>
      <c r="O124" s="76"/>
    </row>
    <row r="125" spans="2:15" s="27" customFormat="1" ht="12" customHeight="1" x14ac:dyDescent="0.2">
      <c r="B125" s="110"/>
      <c r="E125" s="90" t="s">
        <v>91</v>
      </c>
      <c r="F125" s="17"/>
      <c r="G125" s="17"/>
      <c r="H125" s="29"/>
      <c r="I125" s="53">
        <v>4507.7720207253888</v>
      </c>
      <c r="J125" s="53">
        <v>492.22797927461141</v>
      </c>
      <c r="K125" s="53">
        <v>0</v>
      </c>
      <c r="L125" s="53">
        <v>0</v>
      </c>
      <c r="M125" s="53">
        <v>0</v>
      </c>
      <c r="N125" s="57">
        <f t="shared" si="20"/>
        <v>5000</v>
      </c>
      <c r="O125" s="76"/>
    </row>
    <row r="126" spans="2:15" s="27" customFormat="1" ht="12" customHeight="1" x14ac:dyDescent="0.2">
      <c r="B126" s="110"/>
      <c r="E126" s="90" t="s">
        <v>92</v>
      </c>
      <c r="F126" s="17"/>
      <c r="G126" s="17"/>
      <c r="H126" s="29"/>
      <c r="I126" s="53">
        <v>0</v>
      </c>
      <c r="J126" s="53">
        <v>0</v>
      </c>
      <c r="K126" s="53">
        <v>0</v>
      </c>
      <c r="L126" s="53">
        <v>0</v>
      </c>
      <c r="M126" s="53">
        <v>0</v>
      </c>
      <c r="N126" s="57">
        <f t="shared" si="20"/>
        <v>0</v>
      </c>
      <c r="O126" s="76"/>
    </row>
    <row r="127" spans="2:15" s="27" customFormat="1" ht="12" customHeight="1" x14ac:dyDescent="0.2">
      <c r="B127" s="110"/>
      <c r="E127" s="90" t="s">
        <v>25</v>
      </c>
      <c r="F127" s="17"/>
      <c r="G127" s="17"/>
      <c r="H127" s="29"/>
      <c r="I127" s="53">
        <v>798.03765817014448</v>
      </c>
      <c r="J127" s="53">
        <v>92.821780015374969</v>
      </c>
      <c r="K127" s="53">
        <v>0</v>
      </c>
      <c r="L127" s="53">
        <v>2.0710298150789832</v>
      </c>
      <c r="M127" s="53">
        <v>107.06953199940158</v>
      </c>
      <c r="N127" s="57">
        <f t="shared" si="20"/>
        <v>1000</v>
      </c>
      <c r="O127" s="76"/>
    </row>
    <row r="128" spans="2:15" s="27" customFormat="1" ht="12" customHeight="1" x14ac:dyDescent="0.2">
      <c r="B128" s="110"/>
      <c r="E128" s="164" t="s">
        <v>307</v>
      </c>
      <c r="F128" s="17"/>
      <c r="G128" s="17"/>
      <c r="H128" s="29"/>
      <c r="I128" s="53">
        <v>11970.564872552168</v>
      </c>
      <c r="J128" s="53">
        <v>1392.3267002306245</v>
      </c>
      <c r="K128" s="53">
        <v>0</v>
      </c>
      <c r="L128" s="53">
        <v>31.065447226184748</v>
      </c>
      <c r="M128" s="53">
        <v>1606.0429799910235</v>
      </c>
      <c r="N128" s="57">
        <f t="shared" si="20"/>
        <v>15000</v>
      </c>
      <c r="O128" s="76"/>
    </row>
    <row r="129" spans="2:15" s="27" customFormat="1" ht="12" customHeight="1" x14ac:dyDescent="0.2">
      <c r="B129" s="110"/>
      <c r="D129" s="30"/>
      <c r="E129" s="130" t="s">
        <v>93</v>
      </c>
      <c r="F129" s="131"/>
      <c r="G129" s="131"/>
      <c r="H129" s="86"/>
      <c r="I129" s="54">
        <f t="shared" ref="I129:N129" si="21">SUM(I109:I128)</f>
        <v>422609.76967241004</v>
      </c>
      <c r="J129" s="54">
        <f t="shared" si="21"/>
        <v>47280.224875325759</v>
      </c>
      <c r="K129" s="54">
        <f t="shared" si="21"/>
        <v>0</v>
      </c>
      <c r="L129" s="54">
        <f t="shared" si="21"/>
        <v>413.19726794436247</v>
      </c>
      <c r="M129" s="54">
        <f t="shared" si="21"/>
        <v>21361.758184320002</v>
      </c>
      <c r="N129" s="58">
        <f t="shared" si="21"/>
        <v>491664.95</v>
      </c>
      <c r="O129" s="76"/>
    </row>
    <row r="130" spans="2:15" s="27" customFormat="1" ht="7.5" customHeight="1" x14ac:dyDescent="0.2">
      <c r="B130" s="110"/>
      <c r="D130" s="35"/>
      <c r="E130" s="35"/>
      <c r="F130" s="36"/>
      <c r="G130" s="36"/>
      <c r="H130" s="29"/>
      <c r="I130" s="29"/>
      <c r="J130" s="29"/>
      <c r="K130" s="29"/>
      <c r="L130" s="29"/>
      <c r="M130" s="29"/>
      <c r="N130" s="29"/>
      <c r="O130" s="64"/>
    </row>
    <row r="131" spans="2:15" s="27" customFormat="1" ht="12" customHeight="1" x14ac:dyDescent="0.2">
      <c r="B131" s="110"/>
      <c r="D131" s="30"/>
      <c r="E131" s="22" t="s">
        <v>94</v>
      </c>
      <c r="F131" s="41"/>
      <c r="G131" s="41"/>
      <c r="H131" s="29"/>
      <c r="I131" s="29"/>
      <c r="J131" s="29"/>
      <c r="K131" s="29"/>
      <c r="L131" s="29"/>
      <c r="M131" s="29"/>
      <c r="N131" s="29"/>
      <c r="O131" s="64"/>
    </row>
    <row r="132" spans="2:15" s="27" customFormat="1" ht="12" customHeight="1" x14ac:dyDescent="0.2">
      <c r="B132" s="110"/>
      <c r="C132" s="30"/>
      <c r="E132" s="90" t="s">
        <v>95</v>
      </c>
      <c r="F132" s="41"/>
      <c r="G132" s="41"/>
      <c r="H132" s="29"/>
      <c r="I132" s="53">
        <v>28330.336865040128</v>
      </c>
      <c r="J132" s="53">
        <v>3295.1731905458118</v>
      </c>
      <c r="K132" s="53">
        <v>0</v>
      </c>
      <c r="L132" s="53">
        <v>73.521558435303916</v>
      </c>
      <c r="M132" s="53">
        <v>3800.968385978756</v>
      </c>
      <c r="N132" s="57">
        <f t="shared" ref="N132:N138" si="22">SUM(I132:M132)</f>
        <v>35500</v>
      </c>
      <c r="O132" s="76"/>
    </row>
    <row r="133" spans="2:15" s="27" customFormat="1" ht="12" customHeight="1" x14ac:dyDescent="0.2">
      <c r="B133" s="110"/>
      <c r="C133" s="30"/>
      <c r="E133" s="90" t="s">
        <v>96</v>
      </c>
      <c r="F133" s="41"/>
      <c r="G133" s="41"/>
      <c r="H133" s="29"/>
      <c r="I133" s="53">
        <v>6384.3012653611559</v>
      </c>
      <c r="J133" s="53">
        <v>742.57424012299975</v>
      </c>
      <c r="K133" s="53">
        <v>0</v>
      </c>
      <c r="L133" s="53">
        <v>16.568238520631866</v>
      </c>
      <c r="M133" s="53">
        <v>856.55625599521261</v>
      </c>
      <c r="N133" s="57">
        <f t="shared" si="22"/>
        <v>8000</v>
      </c>
      <c r="O133" s="76"/>
    </row>
    <row r="134" spans="2:15" s="27" customFormat="1" ht="12" customHeight="1" x14ac:dyDescent="0.2">
      <c r="B134" s="110"/>
      <c r="C134" s="30"/>
      <c r="E134" s="88" t="s">
        <v>97</v>
      </c>
      <c r="F134" s="41"/>
      <c r="G134" s="41"/>
      <c r="H134" s="29"/>
      <c r="I134" s="53">
        <v>822856.50963358721</v>
      </c>
      <c r="J134" s="53">
        <v>95708.52345058613</v>
      </c>
      <c r="K134" s="53">
        <v>0</v>
      </c>
      <c r="L134" s="53">
        <v>2135.4385316734674</v>
      </c>
      <c r="M134" s="53">
        <v>110399.37838415315</v>
      </c>
      <c r="N134" s="57">
        <f t="shared" si="22"/>
        <v>1031099.85</v>
      </c>
      <c r="O134" s="76"/>
    </row>
    <row r="135" spans="2:15" s="27" customFormat="1" ht="12" customHeight="1" x14ac:dyDescent="0.2">
      <c r="B135" s="110"/>
      <c r="C135" s="30"/>
      <c r="E135" s="88" t="s">
        <v>98</v>
      </c>
      <c r="F135" s="41"/>
      <c r="G135" s="41"/>
      <c r="H135" s="29"/>
      <c r="I135" s="53">
        <v>47882.259490208671</v>
      </c>
      <c r="J135" s="53">
        <v>5569.306800922499</v>
      </c>
      <c r="K135" s="53">
        <v>0</v>
      </c>
      <c r="L135" s="53">
        <v>124.26178890473901</v>
      </c>
      <c r="M135" s="53">
        <v>6424.1719199640938</v>
      </c>
      <c r="N135" s="57">
        <f t="shared" si="22"/>
        <v>60000</v>
      </c>
      <c r="O135" s="76"/>
    </row>
    <row r="136" spans="2:15" s="27" customFormat="1" ht="12" customHeight="1" x14ac:dyDescent="0.2">
      <c r="B136" s="110"/>
      <c r="C136" s="30"/>
      <c r="E136" s="164" t="s">
        <v>311</v>
      </c>
      <c r="F136" s="41"/>
      <c r="G136" s="41"/>
      <c r="H136" s="29"/>
      <c r="I136" s="53">
        <v>13566.640188892456</v>
      </c>
      <c r="J136" s="53">
        <v>1577.9702602613745</v>
      </c>
      <c r="K136" s="53">
        <v>0</v>
      </c>
      <c r="L136" s="53">
        <v>35.207506856342718</v>
      </c>
      <c r="M136" s="53">
        <v>1820.1820439898268</v>
      </c>
      <c r="N136" s="57">
        <f t="shared" si="22"/>
        <v>17000</v>
      </c>
      <c r="O136" s="76"/>
    </row>
    <row r="137" spans="2:15" s="27" customFormat="1" ht="12" customHeight="1" x14ac:dyDescent="0.2">
      <c r="B137" s="110"/>
      <c r="C137" s="30"/>
      <c r="E137" s="90" t="s">
        <v>309</v>
      </c>
      <c r="F137" s="41"/>
      <c r="G137" s="41"/>
      <c r="H137" s="29"/>
      <c r="I137" s="53">
        <v>59852.824362760839</v>
      </c>
      <c r="J137" s="53">
        <v>6961.6335011531228</v>
      </c>
      <c r="K137" s="53">
        <v>0</v>
      </c>
      <c r="L137" s="53">
        <v>155.32723613092375</v>
      </c>
      <c r="M137" s="53">
        <v>8030.2148999551182</v>
      </c>
      <c r="N137" s="57">
        <f t="shared" si="22"/>
        <v>75000</v>
      </c>
      <c r="O137" s="76"/>
    </row>
    <row r="138" spans="2:15" s="27" customFormat="1" ht="12" customHeight="1" x14ac:dyDescent="0.2">
      <c r="B138" s="110"/>
      <c r="C138" s="30"/>
      <c r="E138" s="88" t="s">
        <v>99</v>
      </c>
      <c r="F138" s="41"/>
      <c r="G138" s="41"/>
      <c r="H138" s="29"/>
      <c r="I138" s="53">
        <v>31921.506326805778</v>
      </c>
      <c r="J138" s="53">
        <v>3712.871200614999</v>
      </c>
      <c r="K138" s="53">
        <v>0</v>
      </c>
      <c r="L138" s="53">
        <v>82.841192603159328</v>
      </c>
      <c r="M138" s="53">
        <v>4282.7812799760632</v>
      </c>
      <c r="N138" s="57">
        <f t="shared" si="22"/>
        <v>40000.000000000007</v>
      </c>
      <c r="O138" s="76"/>
    </row>
    <row r="139" spans="2:15" s="27" customFormat="1" ht="12" customHeight="1" x14ac:dyDescent="0.2">
      <c r="B139" s="110"/>
      <c r="D139" s="30"/>
      <c r="E139" s="128" t="s">
        <v>100</v>
      </c>
      <c r="F139" s="129"/>
      <c r="G139" s="129"/>
      <c r="H139" s="86"/>
      <c r="I139" s="54">
        <f t="shared" ref="I139:N139" si="23">SUM(I132:I138)</f>
        <v>1010794.3781326563</v>
      </c>
      <c r="J139" s="54">
        <f t="shared" si="23"/>
        <v>117568.05264420692</v>
      </c>
      <c r="K139" s="54">
        <f t="shared" si="23"/>
        <v>0</v>
      </c>
      <c r="L139" s="54">
        <f t="shared" si="23"/>
        <v>2623.1660531245684</v>
      </c>
      <c r="M139" s="54">
        <f t="shared" si="23"/>
        <v>135614.25317001223</v>
      </c>
      <c r="N139" s="58">
        <f t="shared" si="23"/>
        <v>1266599.8500000001</v>
      </c>
      <c r="O139" s="76"/>
    </row>
    <row r="140" spans="2:15" s="27" customFormat="1" ht="7.5" customHeight="1" x14ac:dyDescent="0.2">
      <c r="B140" s="110"/>
      <c r="C140" s="22"/>
      <c r="D140" s="30"/>
      <c r="E140" s="40"/>
      <c r="F140" s="41"/>
      <c r="G140" s="41"/>
      <c r="H140" s="29"/>
      <c r="I140" s="29"/>
      <c r="J140" s="29"/>
      <c r="K140" s="29"/>
      <c r="L140" s="29"/>
      <c r="M140" s="29"/>
      <c r="N140" s="29"/>
      <c r="O140" s="64"/>
    </row>
    <row r="141" spans="2:15" s="27" customFormat="1" ht="12" customHeight="1" x14ac:dyDescent="0.2">
      <c r="B141" s="110"/>
      <c r="D141" s="30"/>
      <c r="E141" s="22" t="s">
        <v>101</v>
      </c>
      <c r="F141" s="41"/>
      <c r="G141" s="41"/>
      <c r="H141" s="29"/>
      <c r="I141" s="53">
        <v>159607.53163402888</v>
      </c>
      <c r="J141" s="53">
        <v>18564.356003074994</v>
      </c>
      <c r="K141" s="53">
        <v>0</v>
      </c>
      <c r="L141" s="53">
        <v>414.20596301579667</v>
      </c>
      <c r="M141" s="53">
        <v>21413.906399880314</v>
      </c>
      <c r="N141" s="57">
        <f>SUM(I141:M141)</f>
        <v>199999.99999999997</v>
      </c>
      <c r="O141" s="76"/>
    </row>
    <row r="142" spans="2:15" s="27" customFormat="1" ht="12" customHeight="1" x14ac:dyDescent="0.2">
      <c r="B142" s="110"/>
      <c r="D142" s="30"/>
      <c r="E142" s="22" t="s">
        <v>102</v>
      </c>
      <c r="F142" s="41"/>
      <c r="G142" s="41"/>
      <c r="H142" s="29"/>
      <c r="I142" s="53">
        <v>0</v>
      </c>
      <c r="J142" s="53">
        <v>0</v>
      </c>
      <c r="K142" s="53">
        <v>0</v>
      </c>
      <c r="L142" s="53">
        <v>0</v>
      </c>
      <c r="M142" s="53">
        <v>0</v>
      </c>
      <c r="N142" s="57">
        <f>SUM(I142:M142)</f>
        <v>0</v>
      </c>
      <c r="O142" s="76"/>
    </row>
    <row r="143" spans="2:15" s="27" customFormat="1" ht="7.5" customHeight="1" thickBot="1" x14ac:dyDescent="0.25">
      <c r="B143" s="110"/>
      <c r="C143" s="22"/>
      <c r="D143" s="30"/>
      <c r="E143" s="40"/>
      <c r="F143" s="41"/>
      <c r="G143" s="41"/>
      <c r="H143" s="29"/>
      <c r="I143" s="29"/>
      <c r="J143" s="29"/>
      <c r="K143" s="29"/>
      <c r="L143" s="29"/>
      <c r="M143" s="29"/>
      <c r="N143" s="29"/>
      <c r="O143" s="64"/>
    </row>
    <row r="144" spans="2:15" s="27" customFormat="1" ht="12" customHeight="1" thickTop="1" x14ac:dyDescent="0.2">
      <c r="B144" s="108"/>
      <c r="C144" s="26"/>
      <c r="D144" s="26"/>
      <c r="E144" s="121" t="s">
        <v>103</v>
      </c>
      <c r="F144" s="122"/>
      <c r="G144" s="122"/>
      <c r="H144" s="123"/>
      <c r="I144" s="124">
        <f t="shared" ref="I144:N144" si="24">I94+I106+I129+I139+I141+I142</f>
        <v>5861445.4042515345</v>
      </c>
      <c r="J144" s="124">
        <f t="shared" si="24"/>
        <v>679387.04555550893</v>
      </c>
      <c r="K144" s="124">
        <f t="shared" si="24"/>
        <v>0</v>
      </c>
      <c r="L144" s="124">
        <f t="shared" si="24"/>
        <v>14346.249312722559</v>
      </c>
      <c r="M144" s="124">
        <f t="shared" si="24"/>
        <v>935682.32088023331</v>
      </c>
      <c r="N144" s="125">
        <f t="shared" si="24"/>
        <v>7490861.0200000014</v>
      </c>
      <c r="O144" s="76"/>
    </row>
    <row r="145" spans="2:15" s="27" customFormat="1" ht="8.25" customHeight="1" x14ac:dyDescent="0.2">
      <c r="B145" s="109"/>
      <c r="C145" s="26"/>
      <c r="D145" s="26"/>
      <c r="F145" s="28"/>
      <c r="G145" s="28"/>
      <c r="H145" s="92"/>
      <c r="I145" s="92"/>
      <c r="J145" s="92"/>
      <c r="K145" s="92"/>
      <c r="L145" s="92"/>
      <c r="M145" s="92"/>
      <c r="N145" s="92"/>
      <c r="O145" s="64"/>
    </row>
    <row r="146" spans="2:15" s="27" customFormat="1" ht="12" customHeight="1" x14ac:dyDescent="0.2">
      <c r="B146" s="108"/>
      <c r="C146" s="26"/>
      <c r="D146" s="26"/>
      <c r="E146" s="26" t="s">
        <v>104</v>
      </c>
      <c r="F146" s="28"/>
      <c r="G146" s="28"/>
      <c r="H146" s="92"/>
      <c r="I146" s="126">
        <f t="shared" ref="I146:N146" si="25">I54-I144</f>
        <v>259667.20092947688</v>
      </c>
      <c r="J146" s="126">
        <f t="shared" si="25"/>
        <v>195723.09516694455</v>
      </c>
      <c r="K146" s="126">
        <f t="shared" si="25"/>
        <v>0</v>
      </c>
      <c r="L146" s="126">
        <f t="shared" si="25"/>
        <v>-14253.052971044004</v>
      </c>
      <c r="M146" s="126">
        <f t="shared" si="25"/>
        <v>-341137.24312537769</v>
      </c>
      <c r="N146" s="127">
        <f t="shared" si="25"/>
        <v>99999.999999998137</v>
      </c>
      <c r="O146" s="76"/>
    </row>
    <row r="147" spans="2:15" s="27" customFormat="1" ht="7.5" customHeight="1" x14ac:dyDescent="0.2">
      <c r="B147" s="109"/>
      <c r="C147" s="26"/>
      <c r="D147" s="26"/>
      <c r="F147" s="28"/>
      <c r="G147" s="28"/>
      <c r="H147" s="92"/>
      <c r="I147" s="92"/>
      <c r="J147" s="92"/>
      <c r="K147" s="92"/>
      <c r="L147" s="92"/>
      <c r="M147" s="92"/>
      <c r="N147" s="92"/>
      <c r="O147" s="64"/>
    </row>
    <row r="148" spans="2:15" s="27" customFormat="1" ht="7.5" customHeight="1" x14ac:dyDescent="0.2">
      <c r="B148" s="106"/>
      <c r="C148" s="16"/>
      <c r="D148" s="16"/>
      <c r="F148" s="28"/>
      <c r="G148" s="28"/>
      <c r="H148" s="42"/>
      <c r="I148" s="42"/>
      <c r="J148" s="42"/>
      <c r="K148" s="42"/>
      <c r="L148" s="42"/>
      <c r="M148" s="42"/>
      <c r="N148" s="42"/>
      <c r="O148" s="64"/>
    </row>
    <row r="149" spans="2:15" ht="27" customHeight="1" x14ac:dyDescent="0.2">
      <c r="B149" s="110"/>
      <c r="C149" s="26"/>
      <c r="D149" s="26"/>
      <c r="E149" s="26" t="s">
        <v>105</v>
      </c>
      <c r="I149" s="95" t="s">
        <v>112</v>
      </c>
      <c r="J149" s="95" t="s">
        <v>113</v>
      </c>
      <c r="K149" s="95" t="s">
        <v>124</v>
      </c>
      <c r="N149" s="43"/>
      <c r="O149" s="64"/>
    </row>
    <row r="150" spans="2:15" ht="12" customHeight="1" x14ac:dyDescent="0.2">
      <c r="B150" s="110"/>
      <c r="E150" s="104" t="str">
        <f>E19</f>
        <v xml:space="preserve">District of Location </v>
      </c>
      <c r="I150" s="94">
        <v>391</v>
      </c>
      <c r="J150" s="94">
        <v>38</v>
      </c>
      <c r="K150" s="96">
        <f>I150-J150</f>
        <v>353</v>
      </c>
      <c r="N150" s="29"/>
      <c r="O150" s="76"/>
    </row>
    <row r="151" spans="2:15" ht="12" customHeight="1" x14ac:dyDescent="0.2">
      <c r="B151" s="110"/>
      <c r="E151" s="104" t="str">
        <f>E20</f>
        <v>School District 2 (Enter Name)</v>
      </c>
      <c r="I151" s="94"/>
      <c r="J151" s="94"/>
      <c r="K151" s="96">
        <f>SUM(I151:J151)</f>
        <v>0</v>
      </c>
      <c r="N151" s="29"/>
      <c r="O151" s="76"/>
    </row>
    <row r="152" spans="2:15" ht="12" customHeight="1" x14ac:dyDescent="0.2">
      <c r="B152" s="110"/>
      <c r="E152" s="104" t="str">
        <f>E21</f>
        <v>School District 3 (Enter Name)</v>
      </c>
      <c r="I152" s="94"/>
      <c r="J152" s="94"/>
      <c r="K152" s="96">
        <f>SUM(I152:J152)</f>
        <v>0</v>
      </c>
      <c r="N152" s="29"/>
      <c r="O152" s="76"/>
    </row>
    <row r="153" spans="2:15" ht="12" customHeight="1" x14ac:dyDescent="0.2">
      <c r="B153" s="110"/>
      <c r="E153" s="104" t="str">
        <f>E22</f>
        <v>School District 4 (Enter Name)</v>
      </c>
      <c r="I153" s="94"/>
      <c r="J153" s="94"/>
      <c r="K153" s="96">
        <f>SUM(I153:J153)</f>
        <v>0</v>
      </c>
      <c r="N153" s="29"/>
      <c r="O153" s="76"/>
    </row>
    <row r="154" spans="2:15" ht="11.25" customHeight="1" x14ac:dyDescent="0.2">
      <c r="B154" s="110"/>
      <c r="E154" s="104" t="str">
        <f>E23</f>
        <v>School District 5 (Enter Name)</v>
      </c>
      <c r="I154" s="94"/>
      <c r="J154" s="94"/>
      <c r="K154" s="96">
        <f>SUM(I154:J154)</f>
        <v>0</v>
      </c>
      <c r="N154" s="29"/>
      <c r="O154" s="76"/>
    </row>
    <row r="155" spans="2:15" ht="12" customHeight="1" x14ac:dyDescent="0.2">
      <c r="B155" s="110"/>
      <c r="C155" s="13"/>
      <c r="D155" s="13"/>
      <c r="E155" s="13" t="s">
        <v>106</v>
      </c>
      <c r="H155" s="93"/>
      <c r="I155" s="97">
        <f>SUM(I150:I154)</f>
        <v>391</v>
      </c>
      <c r="J155" s="97">
        <f>SUM(J150:J154)</f>
        <v>38</v>
      </c>
      <c r="K155" s="97">
        <f>SUM(K150:K154)</f>
        <v>353</v>
      </c>
      <c r="L155" s="93"/>
      <c r="M155" s="93"/>
      <c r="N155" s="93"/>
      <c r="O155" s="76"/>
    </row>
    <row r="156" spans="2:15" ht="7.5" customHeight="1" x14ac:dyDescent="0.2">
      <c r="B156" s="110"/>
      <c r="C156" s="16"/>
      <c r="D156" s="16"/>
      <c r="N156" s="43"/>
      <c r="O156" s="76"/>
    </row>
    <row r="157" spans="2:15" ht="12" customHeight="1" x14ac:dyDescent="0.2">
      <c r="B157" s="110"/>
      <c r="C157" s="26"/>
      <c r="D157" s="26"/>
      <c r="E157" s="26" t="s">
        <v>107</v>
      </c>
      <c r="H157" s="93"/>
      <c r="I157" s="98">
        <f>IF(I155&gt;0,I54/I155,0)</f>
        <v>15655.019450590822</v>
      </c>
      <c r="J157" s="98">
        <f>IF(J155&gt;0,J54/J155,0)</f>
        <v>23029.214229538251</v>
      </c>
      <c r="K157" s="98">
        <f>IF(K155&gt;0,K54/K155,0)</f>
        <v>0</v>
      </c>
      <c r="L157" s="19"/>
      <c r="M157" s="19"/>
      <c r="N157" s="19"/>
      <c r="O157" s="76"/>
    </row>
    <row r="158" spans="2:15" ht="7.5" customHeight="1" x14ac:dyDescent="0.2">
      <c r="B158" s="110"/>
      <c r="C158" s="16"/>
      <c r="D158" s="16"/>
      <c r="N158" s="43"/>
      <c r="O158" s="76"/>
    </row>
    <row r="159" spans="2:15" ht="12" customHeight="1" x14ac:dyDescent="0.2">
      <c r="B159" s="110"/>
      <c r="C159" s="26"/>
      <c r="D159" s="26"/>
      <c r="E159" s="26" t="s">
        <v>108</v>
      </c>
      <c r="H159" s="93"/>
      <c r="I159" s="98">
        <f>IF(I155&gt;0,I144/I155,0)</f>
        <v>14990.90896228014</v>
      </c>
      <c r="J159" s="98">
        <f>IF(J155&gt;0,J144/J155,0)</f>
        <v>17878.606461987078</v>
      </c>
      <c r="K159" s="98">
        <f>IF(K155&gt;0,K144/K155,0)</f>
        <v>0</v>
      </c>
      <c r="L159" s="19"/>
      <c r="M159" s="19"/>
      <c r="N159" s="19"/>
      <c r="O159" s="76"/>
    </row>
    <row r="160" spans="2:15" ht="12" thickBot="1" x14ac:dyDescent="0.25">
      <c r="B160" s="112"/>
      <c r="C160" s="113"/>
      <c r="D160" s="113"/>
      <c r="E160" s="114"/>
      <c r="F160" s="115"/>
      <c r="G160" s="115"/>
      <c r="H160" s="116"/>
      <c r="I160" s="116"/>
      <c r="J160" s="116"/>
      <c r="K160" s="116"/>
      <c r="L160" s="116"/>
      <c r="M160" s="116"/>
      <c r="N160" s="113"/>
      <c r="O160" s="68"/>
    </row>
    <row r="162" spans="5:11" x14ac:dyDescent="0.2">
      <c r="J162" s="44"/>
      <c r="K162" s="45"/>
    </row>
    <row r="163" spans="5:11" x14ac:dyDescent="0.2">
      <c r="J163" s="44"/>
      <c r="K163" s="45"/>
    </row>
    <row r="164" spans="5:11" x14ac:dyDescent="0.2">
      <c r="J164" s="44"/>
      <c r="K164" s="45"/>
    </row>
    <row r="165" spans="5:11" x14ac:dyDescent="0.2">
      <c r="J165" s="44"/>
      <c r="K165" s="44"/>
    </row>
    <row r="166" spans="5:11" x14ac:dyDescent="0.2">
      <c r="J166" s="44"/>
      <c r="K166" s="44"/>
    </row>
    <row r="168" spans="5:11" x14ac:dyDescent="0.2">
      <c r="K168" s="27"/>
    </row>
    <row r="169" spans="5:11" x14ac:dyDescent="0.2">
      <c r="E169" s="27"/>
      <c r="F169" s="28"/>
      <c r="G169" s="28"/>
    </row>
    <row r="170" spans="5:11" x14ac:dyDescent="0.2">
      <c r="E170" s="27"/>
      <c r="F170" s="28"/>
      <c r="G170" s="28"/>
    </row>
  </sheetData>
  <mergeCells count="7">
    <mergeCell ref="I13:K13"/>
    <mergeCell ref="L13:M13"/>
    <mergeCell ref="B2:N2"/>
    <mergeCell ref="B3:N3"/>
    <mergeCell ref="B4:N4"/>
    <mergeCell ref="B13:E14"/>
    <mergeCell ref="E5:N5"/>
  </mergeCells>
  <phoneticPr fontId="2" type="noConversion"/>
  <pageMargins left="0.5" right="0.5" top="0.5" bottom="0.5" header="0.5" footer="0.5"/>
  <pageSetup scale="63" fitToHeight="3"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71"/>
  <sheetViews>
    <sheetView zoomScaleNormal="100" workbookViewId="0">
      <pane ySplit="3" topLeftCell="A36" activePane="bottomLeft" state="frozen"/>
      <selection pane="bottomLeft" activeCell="D62" sqref="D62"/>
    </sheetView>
  </sheetViews>
  <sheetFormatPr defaultRowHeight="14.25" x14ac:dyDescent="0.2"/>
  <cols>
    <col min="1" max="1" width="45.125" customWidth="1"/>
    <col min="2" max="2" width="29.375" customWidth="1"/>
    <col min="3" max="3" width="19.875" customWidth="1"/>
    <col min="11" max="11" width="14.25" customWidth="1"/>
    <col min="21" max="21" width="10.25" customWidth="1"/>
  </cols>
  <sheetData>
    <row r="1" spans="1:21" ht="26.25" thickBot="1" x14ac:dyDescent="0.3">
      <c r="A1" s="208" t="s">
        <v>138</v>
      </c>
      <c r="B1" s="209"/>
      <c r="E1" s="138" t="s">
        <v>293</v>
      </c>
      <c r="F1" s="139" t="s">
        <v>294</v>
      </c>
      <c r="G1" s="140" t="s">
        <v>295</v>
      </c>
      <c r="H1" s="140" t="s">
        <v>296</v>
      </c>
      <c r="I1" s="141" t="s">
        <v>297</v>
      </c>
      <c r="J1" s="142"/>
      <c r="K1" s="159" t="s">
        <v>298</v>
      </c>
      <c r="L1" s="159" t="s">
        <v>299</v>
      </c>
      <c r="M1" s="159" t="s">
        <v>295</v>
      </c>
      <c r="N1" s="159" t="s">
        <v>25</v>
      </c>
      <c r="O1" s="160" t="s">
        <v>300</v>
      </c>
      <c r="P1" s="142"/>
      <c r="Q1" s="143" t="s">
        <v>301</v>
      </c>
    </row>
    <row r="2" spans="1:21" ht="25.5" customHeight="1" x14ac:dyDescent="0.25">
      <c r="A2" s="208" t="s">
        <v>139</v>
      </c>
      <c r="B2" s="209"/>
      <c r="E2" s="212" t="s">
        <v>302</v>
      </c>
      <c r="F2" s="212"/>
      <c r="G2" s="212"/>
      <c r="H2" s="144">
        <f>353+33</f>
        <v>386</v>
      </c>
      <c r="I2" s="145">
        <v>38</v>
      </c>
      <c r="J2" s="146"/>
      <c r="K2" s="163" t="s">
        <v>303</v>
      </c>
      <c r="L2" s="161"/>
      <c r="M2" s="161"/>
      <c r="N2" s="161"/>
      <c r="O2" s="161"/>
    </row>
    <row r="3" spans="1:21" x14ac:dyDescent="0.2">
      <c r="A3" s="210" t="s">
        <v>140</v>
      </c>
      <c r="B3" s="209"/>
      <c r="E3" s="213" t="s">
        <v>304</v>
      </c>
      <c r="F3" s="213"/>
      <c r="G3" s="213"/>
      <c r="H3" s="147">
        <f>1-I3</f>
        <v>0.9015544041450777</v>
      </c>
      <c r="I3" s="147">
        <f>I2/H2</f>
        <v>9.8445595854922283E-2</v>
      </c>
      <c r="J3" s="146"/>
      <c r="K3" s="162">
        <f>K71/$B$71</f>
        <v>0.79803765817014449</v>
      </c>
      <c r="L3" s="162">
        <f>L71/$B$71</f>
        <v>9.2821780015374972E-2</v>
      </c>
      <c r="M3" s="162">
        <f>M71/$B$71</f>
        <v>0</v>
      </c>
      <c r="N3" s="162">
        <f>N71/$B$71</f>
        <v>2.0710298150789833E-3</v>
      </c>
      <c r="O3" s="162">
        <f>O71/$B$71</f>
        <v>0.10706953199940157</v>
      </c>
    </row>
    <row r="5" spans="1:21" x14ac:dyDescent="0.2">
      <c r="A5" s="134"/>
      <c r="B5" s="135" t="s">
        <v>141</v>
      </c>
    </row>
    <row r="6" spans="1:21" x14ac:dyDescent="0.2">
      <c r="A6" s="136" t="s">
        <v>142</v>
      </c>
      <c r="B6" s="137"/>
    </row>
    <row r="7" spans="1:21" x14ac:dyDescent="0.2">
      <c r="A7" s="170" t="s">
        <v>143</v>
      </c>
      <c r="B7" s="171"/>
      <c r="S7" t="b">
        <f>T7=A7</f>
        <v>1</v>
      </c>
      <c r="T7" s="170" t="s">
        <v>143</v>
      </c>
      <c r="U7" s="171"/>
    </row>
    <row r="8" spans="1:21" x14ac:dyDescent="0.2">
      <c r="A8" s="170" t="s">
        <v>144</v>
      </c>
      <c r="B8" s="172">
        <f>5403371.02</f>
        <v>5403371.0199999996</v>
      </c>
      <c r="C8" s="151" t="s">
        <v>116</v>
      </c>
      <c r="E8" s="148">
        <f>K3+L3</f>
        <v>0.89085943818551949</v>
      </c>
      <c r="F8" s="148"/>
      <c r="G8" s="148"/>
      <c r="H8" s="148"/>
      <c r="I8" s="148">
        <f>1-E8</f>
        <v>0.10914056181448051</v>
      </c>
      <c r="K8" s="153">
        <f>B8*E8</f>
        <v>4813644.0711851167</v>
      </c>
      <c r="L8" s="153">
        <f t="shared" ref="L8:L15" si="0">B8*F8</f>
        <v>0</v>
      </c>
      <c r="M8" s="153">
        <f t="shared" ref="M8:M15" si="1">B8*G8</f>
        <v>0</v>
      </c>
      <c r="N8" s="153">
        <f t="shared" ref="N8:N15" si="2">B8*H8</f>
        <v>0</v>
      </c>
      <c r="O8" s="153">
        <f t="shared" ref="O8:O15" si="3">B8*I8</f>
        <v>589726.94881488255</v>
      </c>
      <c r="Q8" s="157">
        <f>SUM(K8:P8)-B8</f>
        <v>0</v>
      </c>
      <c r="S8" s="168" t="b">
        <f t="shared" ref="S8:S73" si="4">T8=A8</f>
        <v>1</v>
      </c>
      <c r="T8" s="170" t="s">
        <v>144</v>
      </c>
      <c r="U8" s="172">
        <f>5403371.02</f>
        <v>5403371.0199999996</v>
      </c>
    </row>
    <row r="9" spans="1:21" x14ac:dyDescent="0.2">
      <c r="A9" s="170" t="s">
        <v>145</v>
      </c>
      <c r="B9" s="172">
        <f>697885</f>
        <v>697885</v>
      </c>
      <c r="C9" s="151" t="s">
        <v>12</v>
      </c>
      <c r="E9" s="148"/>
      <c r="F9" s="148">
        <v>1</v>
      </c>
      <c r="G9" s="148"/>
      <c r="H9" s="148"/>
      <c r="I9" s="148"/>
      <c r="K9" s="153">
        <f t="shared" ref="K9:K15" si="5">B9*E9</f>
        <v>0</v>
      </c>
      <c r="L9" s="153">
        <f t="shared" si="0"/>
        <v>697885</v>
      </c>
      <c r="M9" s="153">
        <f t="shared" si="1"/>
        <v>0</v>
      </c>
      <c r="N9" s="153">
        <f t="shared" si="2"/>
        <v>0</v>
      </c>
      <c r="O9" s="153">
        <f t="shared" si="3"/>
        <v>0</v>
      </c>
      <c r="Q9" s="157">
        <f t="shared" ref="Q9:Q77" si="6">SUM(K9:P9)-B9</f>
        <v>0</v>
      </c>
      <c r="S9" s="168" t="b">
        <f t="shared" si="4"/>
        <v>1</v>
      </c>
      <c r="T9" s="170" t="s">
        <v>145</v>
      </c>
      <c r="U9" s="172">
        <f>697885</f>
        <v>697885</v>
      </c>
    </row>
    <row r="10" spans="1:21" x14ac:dyDescent="0.2">
      <c r="A10" s="170" t="s">
        <v>146</v>
      </c>
      <c r="B10" s="172">
        <f>720000</f>
        <v>720000</v>
      </c>
      <c r="C10" s="151" t="s">
        <v>131</v>
      </c>
      <c r="E10" s="149">
        <f t="shared" ref="E10:E15" si="7">$H$3</f>
        <v>0.9015544041450777</v>
      </c>
      <c r="F10" s="149">
        <f t="shared" ref="F10:F15" si="8">$I$3</f>
        <v>9.8445595854922283E-2</v>
      </c>
      <c r="G10" s="149"/>
      <c r="H10" s="149"/>
      <c r="I10" s="149"/>
      <c r="K10" s="153">
        <f t="shared" si="5"/>
        <v>649119.17098445597</v>
      </c>
      <c r="L10" s="153">
        <f t="shared" si="0"/>
        <v>70880.829015544048</v>
      </c>
      <c r="M10" s="153">
        <f t="shared" si="1"/>
        <v>0</v>
      </c>
      <c r="N10" s="153">
        <f t="shared" si="2"/>
        <v>0</v>
      </c>
      <c r="O10" s="153">
        <f t="shared" si="3"/>
        <v>0</v>
      </c>
      <c r="Q10" s="157">
        <f t="shared" si="6"/>
        <v>0</v>
      </c>
      <c r="S10" s="168" t="b">
        <f t="shared" si="4"/>
        <v>1</v>
      </c>
      <c r="T10" s="170" t="s">
        <v>146</v>
      </c>
      <c r="U10" s="172">
        <f>720000</f>
        <v>720000</v>
      </c>
    </row>
    <row r="11" spans="1:21" x14ac:dyDescent="0.2">
      <c r="A11" s="170" t="s">
        <v>147</v>
      </c>
      <c r="B11" s="172">
        <f>21744.8</f>
        <v>21744.799999999999</v>
      </c>
      <c r="C11" s="151" t="s">
        <v>28</v>
      </c>
      <c r="E11" s="149">
        <f t="shared" si="7"/>
        <v>0.9015544041450777</v>
      </c>
      <c r="F11" s="149">
        <f t="shared" si="8"/>
        <v>9.8445595854922283E-2</v>
      </c>
      <c r="G11" s="149"/>
      <c r="H11" s="149"/>
      <c r="I11" s="149"/>
      <c r="K11" s="153">
        <f t="shared" si="5"/>
        <v>19604.120207253884</v>
      </c>
      <c r="L11" s="153">
        <f t="shared" si="0"/>
        <v>2140.6797927461139</v>
      </c>
      <c r="M11" s="153">
        <f t="shared" si="1"/>
        <v>0</v>
      </c>
      <c r="N11" s="153">
        <f t="shared" si="2"/>
        <v>0</v>
      </c>
      <c r="O11" s="153">
        <f t="shared" si="3"/>
        <v>0</v>
      </c>
      <c r="Q11" s="157">
        <f t="shared" si="6"/>
        <v>0</v>
      </c>
      <c r="S11" s="168" t="b">
        <f t="shared" si="4"/>
        <v>1</v>
      </c>
      <c r="T11" s="170" t="s">
        <v>147</v>
      </c>
      <c r="U11" s="172">
        <f>21744.8</f>
        <v>21744.799999999999</v>
      </c>
    </row>
    <row r="12" spans="1:21" x14ac:dyDescent="0.2">
      <c r="A12" s="170" t="s">
        <v>148</v>
      </c>
      <c r="B12" s="172">
        <f>5577.4</f>
        <v>5577.4</v>
      </c>
      <c r="C12" s="151" t="s">
        <v>28</v>
      </c>
      <c r="E12" s="149">
        <f t="shared" si="7"/>
        <v>0.9015544041450777</v>
      </c>
      <c r="F12" s="149">
        <f t="shared" si="8"/>
        <v>9.8445595854922283E-2</v>
      </c>
      <c r="G12" s="149"/>
      <c r="H12" s="149"/>
      <c r="I12" s="149"/>
      <c r="K12" s="153">
        <f t="shared" si="5"/>
        <v>5028.329533678756</v>
      </c>
      <c r="L12" s="153">
        <f t="shared" si="0"/>
        <v>549.07046632124354</v>
      </c>
      <c r="M12" s="153">
        <f t="shared" si="1"/>
        <v>0</v>
      </c>
      <c r="N12" s="153">
        <f t="shared" si="2"/>
        <v>0</v>
      </c>
      <c r="O12" s="153">
        <f t="shared" si="3"/>
        <v>0</v>
      </c>
      <c r="Q12" s="157">
        <f t="shared" si="6"/>
        <v>0</v>
      </c>
      <c r="S12" s="168" t="b">
        <f t="shared" si="4"/>
        <v>1</v>
      </c>
      <c r="T12" s="170" t="s">
        <v>148</v>
      </c>
      <c r="U12" s="172">
        <f>5577.4</f>
        <v>5577.4</v>
      </c>
    </row>
    <row r="13" spans="1:21" x14ac:dyDescent="0.2">
      <c r="A13" s="170" t="s">
        <v>149</v>
      </c>
      <c r="B13" s="172">
        <f>2329.8</f>
        <v>2329.8000000000002</v>
      </c>
      <c r="C13" s="151" t="s">
        <v>28</v>
      </c>
      <c r="E13" s="149">
        <f t="shared" si="7"/>
        <v>0.9015544041450777</v>
      </c>
      <c r="F13" s="149">
        <f t="shared" si="8"/>
        <v>9.8445595854922283E-2</v>
      </c>
      <c r="G13" s="149"/>
      <c r="H13" s="149"/>
      <c r="I13" s="149"/>
      <c r="K13" s="153">
        <f t="shared" si="5"/>
        <v>2100.4414507772021</v>
      </c>
      <c r="L13" s="153">
        <f t="shared" si="0"/>
        <v>229.35854922279796</v>
      </c>
      <c r="M13" s="153">
        <f t="shared" si="1"/>
        <v>0</v>
      </c>
      <c r="N13" s="153">
        <f t="shared" si="2"/>
        <v>0</v>
      </c>
      <c r="O13" s="153">
        <f t="shared" si="3"/>
        <v>0</v>
      </c>
      <c r="Q13" s="157">
        <f t="shared" si="6"/>
        <v>0</v>
      </c>
      <c r="S13" s="168" t="b">
        <f t="shared" si="4"/>
        <v>1</v>
      </c>
      <c r="T13" s="170" t="s">
        <v>149</v>
      </c>
      <c r="U13" s="172">
        <f>2329.8</f>
        <v>2329.8000000000002</v>
      </c>
    </row>
    <row r="14" spans="1:21" x14ac:dyDescent="0.2">
      <c r="A14" s="170" t="s">
        <v>150</v>
      </c>
      <c r="B14" s="172">
        <f>159203</f>
        <v>159203</v>
      </c>
      <c r="C14" s="151" t="s">
        <v>131</v>
      </c>
      <c r="E14" s="149">
        <f t="shared" si="7"/>
        <v>0.9015544041450777</v>
      </c>
      <c r="F14" s="149">
        <f t="shared" si="8"/>
        <v>9.8445595854922283E-2</v>
      </c>
      <c r="G14" s="149"/>
      <c r="H14" s="149"/>
      <c r="I14" s="149"/>
      <c r="K14" s="153">
        <f t="shared" si="5"/>
        <v>143530.1658031088</v>
      </c>
      <c r="L14" s="153">
        <f t="shared" si="0"/>
        <v>15672.834196891192</v>
      </c>
      <c r="M14" s="153">
        <f t="shared" si="1"/>
        <v>0</v>
      </c>
      <c r="N14" s="153">
        <f t="shared" si="2"/>
        <v>0</v>
      </c>
      <c r="O14" s="153">
        <f t="shared" si="3"/>
        <v>0</v>
      </c>
      <c r="Q14" s="157">
        <f t="shared" si="6"/>
        <v>0</v>
      </c>
      <c r="S14" s="168" t="b">
        <f t="shared" si="4"/>
        <v>1</v>
      </c>
      <c r="T14" s="170" t="s">
        <v>150</v>
      </c>
      <c r="U14" s="172">
        <f>159203</f>
        <v>159203</v>
      </c>
    </row>
    <row r="15" spans="1:21" x14ac:dyDescent="0.2">
      <c r="A15" s="170" t="s">
        <v>151</v>
      </c>
      <c r="B15" s="172">
        <f>341550</f>
        <v>341550</v>
      </c>
      <c r="C15" s="151" t="s">
        <v>131</v>
      </c>
      <c r="E15" s="149">
        <f t="shared" si="7"/>
        <v>0.9015544041450777</v>
      </c>
      <c r="F15" s="149">
        <f t="shared" si="8"/>
        <v>9.8445595854922283E-2</v>
      </c>
      <c r="G15" s="149"/>
      <c r="H15" s="149"/>
      <c r="I15" s="149"/>
      <c r="K15" s="153">
        <f t="shared" si="5"/>
        <v>307925.90673575131</v>
      </c>
      <c r="L15" s="153">
        <f t="shared" si="0"/>
        <v>33624.093264248702</v>
      </c>
      <c r="M15" s="153">
        <f t="shared" si="1"/>
        <v>0</v>
      </c>
      <c r="N15" s="153">
        <f t="shared" si="2"/>
        <v>0</v>
      </c>
      <c r="O15" s="153">
        <f t="shared" si="3"/>
        <v>0</v>
      </c>
      <c r="Q15" s="157">
        <f t="shared" si="6"/>
        <v>0</v>
      </c>
      <c r="S15" s="168" t="b">
        <f t="shared" si="4"/>
        <v>1</v>
      </c>
      <c r="T15" s="170" t="s">
        <v>151</v>
      </c>
      <c r="U15" s="172">
        <f>341550</f>
        <v>341550</v>
      </c>
    </row>
    <row r="16" spans="1:21" x14ac:dyDescent="0.2">
      <c r="A16" s="170" t="s">
        <v>152</v>
      </c>
      <c r="B16" s="173">
        <f>((((((((B7)+(B8))+(B9))+(B10))+(B11))+(B12))+(B13))+(B14))+(B15)</f>
        <v>7351661.0199999996</v>
      </c>
      <c r="E16" s="150" t="s">
        <v>305</v>
      </c>
      <c r="F16" s="150" t="s">
        <v>305</v>
      </c>
      <c r="G16" s="150" t="s">
        <v>305</v>
      </c>
      <c r="H16" s="150" t="s">
        <v>305</v>
      </c>
      <c r="I16" s="150" t="s">
        <v>305</v>
      </c>
      <c r="K16" s="154" t="s">
        <v>305</v>
      </c>
      <c r="L16" s="154" t="s">
        <v>305</v>
      </c>
      <c r="M16" s="154" t="s">
        <v>305</v>
      </c>
      <c r="N16" s="154" t="s">
        <v>305</v>
      </c>
      <c r="O16" s="154" t="s">
        <v>305</v>
      </c>
      <c r="Q16" s="157">
        <f t="shared" si="6"/>
        <v>-7351661.0199999996</v>
      </c>
      <c r="S16" s="168" t="b">
        <f t="shared" si="4"/>
        <v>1</v>
      </c>
      <c r="T16" s="170" t="s">
        <v>152</v>
      </c>
      <c r="U16" s="173">
        <f>((((((((U7)+(U8))+(U9))+(U10))+(U11))+(U12))+(U13))+(U14))+(U15)</f>
        <v>7351661.0199999996</v>
      </c>
    </row>
    <row r="17" spans="1:21" x14ac:dyDescent="0.2">
      <c r="A17" s="170" t="s">
        <v>153</v>
      </c>
      <c r="B17" s="171"/>
      <c r="Q17" s="157">
        <f t="shared" si="6"/>
        <v>0</v>
      </c>
      <c r="S17" s="168" t="b">
        <f t="shared" si="4"/>
        <v>1</v>
      </c>
      <c r="T17" s="170" t="s">
        <v>153</v>
      </c>
      <c r="U17" s="171"/>
    </row>
    <row r="18" spans="1:21" x14ac:dyDescent="0.2">
      <c r="A18" s="170" t="s">
        <v>154</v>
      </c>
      <c r="B18" s="172">
        <f>34200</f>
        <v>34200</v>
      </c>
      <c r="C18" s="151" t="s">
        <v>18</v>
      </c>
      <c r="E18" s="148"/>
      <c r="F18" s="148">
        <v>1</v>
      </c>
      <c r="G18" s="148"/>
      <c r="H18" s="148"/>
      <c r="I18" s="148"/>
      <c r="K18" s="153">
        <f t="shared" ref="K18:K21" si="9">B18*E18</f>
        <v>0</v>
      </c>
      <c r="L18" s="153">
        <f t="shared" ref="L18:L21" si="10">B18*F18</f>
        <v>34200</v>
      </c>
      <c r="M18" s="153">
        <f t="shared" ref="M18:M21" si="11">B18*G18</f>
        <v>0</v>
      </c>
      <c r="N18" s="153">
        <f t="shared" ref="N18:N21" si="12">B18*H18</f>
        <v>0</v>
      </c>
      <c r="O18" s="153">
        <f t="shared" ref="O18:O21" si="13">B18*I18</f>
        <v>0</v>
      </c>
      <c r="Q18" s="157">
        <f t="shared" si="6"/>
        <v>0</v>
      </c>
      <c r="S18" s="168" t="b">
        <f t="shared" si="4"/>
        <v>1</v>
      </c>
      <c r="T18" s="170" t="s">
        <v>154</v>
      </c>
      <c r="U18" s="172">
        <f>34200</f>
        <v>34200</v>
      </c>
    </row>
    <row r="19" spans="1:21" x14ac:dyDescent="0.2">
      <c r="A19" s="170" t="s">
        <v>155</v>
      </c>
      <c r="B19" s="172">
        <f>25000</f>
        <v>25000</v>
      </c>
      <c r="C19" s="151" t="s">
        <v>26</v>
      </c>
      <c r="E19" s="152">
        <f>$K$3</f>
        <v>0.79803765817014449</v>
      </c>
      <c r="F19" s="152">
        <f>$L$3</f>
        <v>9.2821780015374972E-2</v>
      </c>
      <c r="G19" s="152">
        <f>$M$3</f>
        <v>0</v>
      </c>
      <c r="H19" s="152">
        <f>$N$3</f>
        <v>2.0710298150789833E-3</v>
      </c>
      <c r="I19" s="152">
        <f>$O$3</f>
        <v>0.10706953199940157</v>
      </c>
      <c r="K19" s="153">
        <f t="shared" si="9"/>
        <v>19950.941454253611</v>
      </c>
      <c r="L19" s="153">
        <f t="shared" si="10"/>
        <v>2320.5445003843743</v>
      </c>
      <c r="M19" s="153">
        <f t="shared" si="11"/>
        <v>0</v>
      </c>
      <c r="N19" s="153">
        <f t="shared" si="12"/>
        <v>51.775745376974584</v>
      </c>
      <c r="O19" s="153">
        <f t="shared" si="13"/>
        <v>2676.7382999850392</v>
      </c>
      <c r="Q19" s="157">
        <f t="shared" si="6"/>
        <v>0</v>
      </c>
      <c r="S19" s="168" t="b">
        <f t="shared" si="4"/>
        <v>1</v>
      </c>
      <c r="T19" s="170" t="s">
        <v>155</v>
      </c>
      <c r="U19" s="172">
        <f>25000</f>
        <v>25000</v>
      </c>
    </row>
    <row r="20" spans="1:21" x14ac:dyDescent="0.2">
      <c r="A20" s="170" t="s">
        <v>156</v>
      </c>
      <c r="B20" s="172">
        <f>90000</f>
        <v>90000</v>
      </c>
      <c r="C20" s="151" t="s">
        <v>19</v>
      </c>
      <c r="E20" s="149">
        <f>$H$3</f>
        <v>0.9015544041450777</v>
      </c>
      <c r="F20" s="149">
        <f>$I$3</f>
        <v>9.8445595854922283E-2</v>
      </c>
      <c r="G20" s="149"/>
      <c r="H20" s="149"/>
      <c r="I20" s="149"/>
      <c r="K20" s="153">
        <f t="shared" si="9"/>
        <v>81139.896373056996</v>
      </c>
      <c r="L20" s="153">
        <f t="shared" si="10"/>
        <v>8860.103626943006</v>
      </c>
      <c r="M20" s="153">
        <f t="shared" si="11"/>
        <v>0</v>
      </c>
      <c r="N20" s="153">
        <f t="shared" si="12"/>
        <v>0</v>
      </c>
      <c r="O20" s="153">
        <f t="shared" si="13"/>
        <v>0</v>
      </c>
      <c r="Q20" s="157">
        <f t="shared" si="6"/>
        <v>0</v>
      </c>
      <c r="S20" s="168" t="b">
        <f t="shared" si="4"/>
        <v>1</v>
      </c>
      <c r="T20" s="170" t="s">
        <v>156</v>
      </c>
      <c r="U20" s="172">
        <f>90000</f>
        <v>90000</v>
      </c>
    </row>
    <row r="21" spans="1:21" x14ac:dyDescent="0.2">
      <c r="A21" s="170" t="s">
        <v>157</v>
      </c>
      <c r="B21" s="172">
        <f>10000</f>
        <v>10000</v>
      </c>
      <c r="C21" s="151" t="s">
        <v>20</v>
      </c>
      <c r="E21" s="149">
        <f>$H$3</f>
        <v>0.9015544041450777</v>
      </c>
      <c r="F21" s="149">
        <f>$I$3</f>
        <v>9.8445595854922283E-2</v>
      </c>
      <c r="G21" s="149"/>
      <c r="H21" s="149"/>
      <c r="I21" s="149"/>
      <c r="K21" s="153">
        <f t="shared" si="9"/>
        <v>9015.5440414507775</v>
      </c>
      <c r="L21" s="153">
        <f t="shared" si="10"/>
        <v>984.45595854922283</v>
      </c>
      <c r="M21" s="153">
        <f t="shared" si="11"/>
        <v>0</v>
      </c>
      <c r="N21" s="153">
        <f t="shared" si="12"/>
        <v>0</v>
      </c>
      <c r="O21" s="153">
        <f t="shared" si="13"/>
        <v>0</v>
      </c>
      <c r="Q21" s="157">
        <f t="shared" si="6"/>
        <v>0</v>
      </c>
      <c r="S21" s="168" t="b">
        <f t="shared" si="4"/>
        <v>1</v>
      </c>
      <c r="T21" s="170" t="s">
        <v>157</v>
      </c>
      <c r="U21" s="172">
        <f>10000</f>
        <v>10000</v>
      </c>
    </row>
    <row r="22" spans="1:21" x14ac:dyDescent="0.2">
      <c r="A22" s="170" t="s">
        <v>158</v>
      </c>
      <c r="B22" s="173">
        <f>((((B17)+(B18))+(B19))+(B20))+(B21)</f>
        <v>159200</v>
      </c>
      <c r="E22" s="150" t="s">
        <v>305</v>
      </c>
      <c r="F22" s="150" t="s">
        <v>305</v>
      </c>
      <c r="G22" s="150" t="s">
        <v>305</v>
      </c>
      <c r="H22" s="150" t="s">
        <v>305</v>
      </c>
      <c r="I22" s="150" t="s">
        <v>305</v>
      </c>
      <c r="K22" s="154" t="s">
        <v>305</v>
      </c>
      <c r="L22" s="154" t="s">
        <v>305</v>
      </c>
      <c r="M22" s="154" t="s">
        <v>305</v>
      </c>
      <c r="N22" s="154" t="s">
        <v>305</v>
      </c>
      <c r="O22" s="154" t="s">
        <v>305</v>
      </c>
      <c r="Q22" s="157">
        <f t="shared" si="6"/>
        <v>-159200</v>
      </c>
      <c r="S22" s="168" t="b">
        <f t="shared" si="4"/>
        <v>1</v>
      </c>
      <c r="T22" s="170" t="s">
        <v>158</v>
      </c>
      <c r="U22" s="173">
        <f>((((U17)+(U18))+(U19))+(U20))+(U21)</f>
        <v>159200</v>
      </c>
    </row>
    <row r="23" spans="1:21" x14ac:dyDescent="0.2">
      <c r="A23" s="170" t="s">
        <v>159</v>
      </c>
      <c r="B23" s="171"/>
      <c r="Q23" s="157">
        <f t="shared" si="6"/>
        <v>0</v>
      </c>
      <c r="S23" s="168" t="b">
        <f t="shared" si="4"/>
        <v>1</v>
      </c>
      <c r="T23" s="170" t="s">
        <v>159</v>
      </c>
      <c r="U23" s="171"/>
    </row>
    <row r="24" spans="1:21" x14ac:dyDescent="0.2">
      <c r="A24" s="170" t="s">
        <v>160</v>
      </c>
      <c r="B24" s="172">
        <f>10000</f>
        <v>10000</v>
      </c>
      <c r="C24" s="151" t="s">
        <v>118</v>
      </c>
      <c r="E24" s="152">
        <f>$K$3</f>
        <v>0.79803765817014449</v>
      </c>
      <c r="F24" s="152">
        <f>$L$3</f>
        <v>9.2821780015374972E-2</v>
      </c>
      <c r="G24" s="152">
        <f>$M$3</f>
        <v>0</v>
      </c>
      <c r="H24" s="152">
        <f>$N$3</f>
        <v>2.0710298150789833E-3</v>
      </c>
      <c r="I24" s="152">
        <f>$O$3</f>
        <v>0.10706953199940157</v>
      </c>
      <c r="K24" s="153">
        <f t="shared" ref="K24:K26" si="14">B24*E24</f>
        <v>7980.3765817014446</v>
      </c>
      <c r="L24" s="153">
        <f t="shared" ref="L24:L26" si="15">B24*F24</f>
        <v>928.21780015374975</v>
      </c>
      <c r="M24" s="153">
        <f t="shared" ref="M24:M26" si="16">B24*G24</f>
        <v>0</v>
      </c>
      <c r="N24" s="153">
        <f t="shared" ref="N24:N26" si="17">B24*H24</f>
        <v>20.710298150789832</v>
      </c>
      <c r="O24" s="153">
        <f t="shared" ref="O24:O26" si="18">B24*I24</f>
        <v>1070.6953199940158</v>
      </c>
      <c r="Q24" s="157">
        <f t="shared" si="6"/>
        <v>0</v>
      </c>
      <c r="S24" s="168" t="b">
        <f t="shared" si="4"/>
        <v>1</v>
      </c>
      <c r="T24" s="170" t="s">
        <v>160</v>
      </c>
      <c r="U24" s="172">
        <f>10000</f>
        <v>10000</v>
      </c>
    </row>
    <row r="25" spans="1:21" x14ac:dyDescent="0.2">
      <c r="A25" s="170" t="s">
        <v>161</v>
      </c>
      <c r="B25" s="172">
        <f>10000</f>
        <v>10000</v>
      </c>
      <c r="C25" s="151" t="s">
        <v>118</v>
      </c>
      <c r="E25" s="152">
        <f>$K$3</f>
        <v>0.79803765817014449</v>
      </c>
      <c r="F25" s="152">
        <f>$L$3</f>
        <v>9.2821780015374972E-2</v>
      </c>
      <c r="G25" s="152">
        <f>$M$3</f>
        <v>0</v>
      </c>
      <c r="H25" s="152">
        <f>$N$3</f>
        <v>2.0710298150789833E-3</v>
      </c>
      <c r="I25" s="152">
        <f>$O$3</f>
        <v>0.10706953199940157</v>
      </c>
      <c r="K25" s="153">
        <f t="shared" si="14"/>
        <v>7980.3765817014446</v>
      </c>
      <c r="L25" s="153">
        <f t="shared" si="15"/>
        <v>928.21780015374975</v>
      </c>
      <c r="M25" s="153">
        <f t="shared" si="16"/>
        <v>0</v>
      </c>
      <c r="N25" s="153">
        <f t="shared" si="17"/>
        <v>20.710298150789832</v>
      </c>
      <c r="O25" s="153">
        <f t="shared" si="18"/>
        <v>1070.6953199940158</v>
      </c>
      <c r="Q25" s="157">
        <f t="shared" si="6"/>
        <v>0</v>
      </c>
      <c r="S25" s="168" t="b">
        <f t="shared" si="4"/>
        <v>1</v>
      </c>
      <c r="T25" s="170" t="s">
        <v>161</v>
      </c>
      <c r="U25" s="172">
        <f>10000</f>
        <v>10000</v>
      </c>
    </row>
    <row r="26" spans="1:21" x14ac:dyDescent="0.2">
      <c r="A26" s="170" t="s">
        <v>162</v>
      </c>
      <c r="B26" s="172">
        <f>60000</f>
        <v>60000</v>
      </c>
      <c r="C26" s="151" t="s">
        <v>118</v>
      </c>
      <c r="E26" s="149">
        <f>$H$3</f>
        <v>0.9015544041450777</v>
      </c>
      <c r="F26" s="149">
        <f>$I$3</f>
        <v>9.8445595854922283E-2</v>
      </c>
      <c r="G26" s="149"/>
      <c r="H26" s="149"/>
      <c r="I26" s="149"/>
      <c r="K26" s="153">
        <f t="shared" si="14"/>
        <v>54093.264248704661</v>
      </c>
      <c r="L26" s="153">
        <f t="shared" si="15"/>
        <v>5906.7357512953367</v>
      </c>
      <c r="M26" s="153">
        <f t="shared" si="16"/>
        <v>0</v>
      </c>
      <c r="N26" s="153">
        <f t="shared" si="17"/>
        <v>0</v>
      </c>
      <c r="O26" s="153">
        <f t="shared" si="18"/>
        <v>0</v>
      </c>
      <c r="Q26" s="157">
        <f t="shared" si="6"/>
        <v>0</v>
      </c>
      <c r="S26" s="168" t="b">
        <f t="shared" si="4"/>
        <v>1</v>
      </c>
      <c r="T26" s="170" t="s">
        <v>162</v>
      </c>
      <c r="U26" s="172">
        <f>60000</f>
        <v>60000</v>
      </c>
    </row>
    <row r="27" spans="1:21" x14ac:dyDescent="0.2">
      <c r="A27" s="170" t="s">
        <v>163</v>
      </c>
      <c r="B27" s="173">
        <f>(((B23)+(B24))+(B25))+(B26)</f>
        <v>80000</v>
      </c>
      <c r="E27" s="150" t="s">
        <v>305</v>
      </c>
      <c r="F27" s="150" t="s">
        <v>305</v>
      </c>
      <c r="G27" s="150" t="s">
        <v>305</v>
      </c>
      <c r="H27" s="150" t="s">
        <v>305</v>
      </c>
      <c r="I27" s="150" t="s">
        <v>305</v>
      </c>
      <c r="K27" s="154" t="s">
        <v>305</v>
      </c>
      <c r="L27" s="154" t="s">
        <v>305</v>
      </c>
      <c r="M27" s="154" t="s">
        <v>305</v>
      </c>
      <c r="N27" s="154" t="s">
        <v>305</v>
      </c>
      <c r="O27" s="154" t="s">
        <v>305</v>
      </c>
      <c r="Q27" s="157">
        <f t="shared" si="6"/>
        <v>-80000</v>
      </c>
      <c r="S27" s="168" t="b">
        <f t="shared" si="4"/>
        <v>1</v>
      </c>
      <c r="T27" s="170" t="s">
        <v>163</v>
      </c>
      <c r="U27" s="173">
        <f>(((U23)+(U24))+(U25))+(U26)</f>
        <v>80000</v>
      </c>
    </row>
    <row r="28" spans="1:21" x14ac:dyDescent="0.2">
      <c r="A28" s="170" t="s">
        <v>0</v>
      </c>
      <c r="B28" s="173">
        <f>((B16)+(B22))+(B27)</f>
        <v>7590861.0199999996</v>
      </c>
      <c r="Q28" s="157">
        <f t="shared" si="6"/>
        <v>-7590861.0199999996</v>
      </c>
      <c r="S28" s="168" t="b">
        <f t="shared" si="4"/>
        <v>1</v>
      </c>
      <c r="T28" s="170" t="s">
        <v>0</v>
      </c>
      <c r="U28" s="173">
        <f>((U16)+(U22))+(U27)</f>
        <v>7590861.0199999996</v>
      </c>
    </row>
    <row r="29" spans="1:21" x14ac:dyDescent="0.2">
      <c r="A29" s="170" t="s">
        <v>164</v>
      </c>
      <c r="B29" s="173">
        <f>(B28)-(0)</f>
        <v>7590861.0199999996</v>
      </c>
      <c r="Q29" s="157">
        <f t="shared" si="6"/>
        <v>-7590861.0199999996</v>
      </c>
      <c r="S29" s="168" t="b">
        <f t="shared" si="4"/>
        <v>1</v>
      </c>
      <c r="T29" s="170" t="s">
        <v>164</v>
      </c>
      <c r="U29" s="173">
        <f>(U28)-(0)</f>
        <v>7590861.0199999996</v>
      </c>
    </row>
    <row r="30" spans="1:21" x14ac:dyDescent="0.2">
      <c r="A30" s="136" t="s">
        <v>165</v>
      </c>
      <c r="B30" s="137"/>
      <c r="Q30" s="157">
        <f t="shared" si="6"/>
        <v>0</v>
      </c>
      <c r="S30" s="168" t="b">
        <f t="shared" si="4"/>
        <v>1</v>
      </c>
      <c r="T30" s="170" t="s">
        <v>165</v>
      </c>
      <c r="U30" s="171"/>
    </row>
    <row r="31" spans="1:21" x14ac:dyDescent="0.2">
      <c r="A31" s="170" t="s">
        <v>166</v>
      </c>
      <c r="B31" s="171"/>
      <c r="Q31" s="157">
        <f t="shared" si="6"/>
        <v>0</v>
      </c>
      <c r="S31" s="168" t="b">
        <f t="shared" si="4"/>
        <v>1</v>
      </c>
      <c r="T31" s="170" t="s">
        <v>166</v>
      </c>
      <c r="U31" s="171"/>
    </row>
    <row r="32" spans="1:21" x14ac:dyDescent="0.2">
      <c r="A32" s="170" t="s">
        <v>167</v>
      </c>
      <c r="B32" s="172">
        <f>87692.22</f>
        <v>87692.22</v>
      </c>
      <c r="C32" s="151" t="s">
        <v>35</v>
      </c>
      <c r="D32">
        <v>0.3</v>
      </c>
      <c r="E32" s="148">
        <v>0.55000000000000004</v>
      </c>
      <c r="F32" s="148">
        <v>0.1</v>
      </c>
      <c r="G32" s="148"/>
      <c r="H32" s="148">
        <v>0.1</v>
      </c>
      <c r="I32" s="148">
        <v>0.25</v>
      </c>
      <c r="K32" s="153">
        <f t="shared" ref="K32:K34" si="19">B32*E32</f>
        <v>48230.721000000005</v>
      </c>
      <c r="L32" s="153">
        <f t="shared" ref="L32:L34" si="20">B32*F32</f>
        <v>8769.2219999999998</v>
      </c>
      <c r="M32" s="153">
        <f t="shared" ref="M32:M34" si="21">B32*G32</f>
        <v>0</v>
      </c>
      <c r="N32" s="153">
        <f t="shared" ref="N32:N34" si="22">B32*H32</f>
        <v>8769.2219999999998</v>
      </c>
      <c r="O32" s="153">
        <f t="shared" ref="O32:O34" si="23">B32*I32</f>
        <v>21923.055</v>
      </c>
      <c r="Q32" s="157">
        <f t="shared" si="6"/>
        <v>0</v>
      </c>
      <c r="S32" s="168" t="b">
        <f t="shared" si="4"/>
        <v>1</v>
      </c>
      <c r="T32" s="170" t="s">
        <v>167</v>
      </c>
      <c r="U32" s="172">
        <f>87692.22</f>
        <v>87692.22</v>
      </c>
    </row>
    <row r="33" spans="1:21" x14ac:dyDescent="0.2">
      <c r="A33" s="170" t="s">
        <v>168</v>
      </c>
      <c r="B33" s="172">
        <f>135500</f>
        <v>135500</v>
      </c>
      <c r="C33" s="151" t="s">
        <v>35</v>
      </c>
      <c r="D33">
        <v>1</v>
      </c>
      <c r="E33" s="148">
        <v>0.65</v>
      </c>
      <c r="F33" s="148">
        <v>0.1</v>
      </c>
      <c r="G33" s="148"/>
      <c r="H33" s="148"/>
      <c r="I33" s="148">
        <v>0.25</v>
      </c>
      <c r="K33" s="153">
        <f t="shared" si="19"/>
        <v>88075</v>
      </c>
      <c r="L33" s="153">
        <f t="shared" si="20"/>
        <v>13550</v>
      </c>
      <c r="M33" s="153">
        <f t="shared" si="21"/>
        <v>0</v>
      </c>
      <c r="N33" s="153">
        <f t="shared" si="22"/>
        <v>0</v>
      </c>
      <c r="O33" s="153">
        <f t="shared" si="23"/>
        <v>33875</v>
      </c>
      <c r="Q33" s="157">
        <f t="shared" si="6"/>
        <v>0</v>
      </c>
      <c r="S33" s="168" t="b">
        <f t="shared" si="4"/>
        <v>1</v>
      </c>
      <c r="T33" s="170" t="s">
        <v>168</v>
      </c>
      <c r="U33" s="172">
        <f>135500</f>
        <v>135500</v>
      </c>
    </row>
    <row r="34" spans="1:21" x14ac:dyDescent="0.2">
      <c r="A34" s="170" t="s">
        <v>169</v>
      </c>
      <c r="B34" s="172">
        <f>110000</f>
        <v>110000</v>
      </c>
      <c r="C34" s="151" t="s">
        <v>36</v>
      </c>
      <c r="D34">
        <v>1</v>
      </c>
      <c r="E34" s="148">
        <v>0.65</v>
      </c>
      <c r="F34" s="148">
        <v>0.1</v>
      </c>
      <c r="G34" s="148"/>
      <c r="H34" s="148"/>
      <c r="I34" s="148">
        <v>0.25</v>
      </c>
      <c r="K34" s="153">
        <f t="shared" si="19"/>
        <v>71500</v>
      </c>
      <c r="L34" s="153">
        <f t="shared" si="20"/>
        <v>11000</v>
      </c>
      <c r="M34" s="153">
        <f t="shared" si="21"/>
        <v>0</v>
      </c>
      <c r="N34" s="153">
        <f t="shared" si="22"/>
        <v>0</v>
      </c>
      <c r="O34" s="153">
        <f t="shared" si="23"/>
        <v>27500</v>
      </c>
      <c r="Q34" s="157">
        <f t="shared" si="6"/>
        <v>0</v>
      </c>
      <c r="S34" s="168" t="b">
        <f t="shared" si="4"/>
        <v>1</v>
      </c>
      <c r="T34" s="170" t="s">
        <v>169</v>
      </c>
      <c r="U34" s="172">
        <f>110000</f>
        <v>110000</v>
      </c>
    </row>
    <row r="35" spans="1:21" x14ac:dyDescent="0.2">
      <c r="A35" s="170" t="s">
        <v>170</v>
      </c>
      <c r="B35" s="172">
        <f>1009417</f>
        <v>1009417</v>
      </c>
      <c r="C35" s="151" t="s">
        <v>43</v>
      </c>
      <c r="D35">
        <v>15</v>
      </c>
      <c r="E35" s="149">
        <f t="shared" ref="E35:E53" si="24">$H$3</f>
        <v>0.9015544041450777</v>
      </c>
      <c r="F35" s="149">
        <f t="shared" ref="F35:F53" si="25">$I$3</f>
        <v>9.8445595854922283E-2</v>
      </c>
      <c r="G35" s="149"/>
      <c r="H35" s="149"/>
      <c r="I35" s="149"/>
      <c r="K35" s="153">
        <f t="shared" ref="K35:K47" si="26">B35*E35</f>
        <v>910044.34196891193</v>
      </c>
      <c r="L35" s="153">
        <f t="shared" ref="L35:L47" si="27">B35*F35</f>
        <v>99372.658031088082</v>
      </c>
      <c r="M35" s="153">
        <f t="shared" ref="M35:M47" si="28">B35*G35</f>
        <v>0</v>
      </c>
      <c r="N35" s="153">
        <f t="shared" ref="N35:N47" si="29">B35*H35</f>
        <v>0</v>
      </c>
      <c r="O35" s="153">
        <f t="shared" ref="O35:O47" si="30">B35*I35</f>
        <v>0</v>
      </c>
      <c r="Q35" s="157">
        <f t="shared" si="6"/>
        <v>0</v>
      </c>
      <c r="S35" s="168" t="b">
        <f t="shared" si="4"/>
        <v>1</v>
      </c>
      <c r="T35" s="170" t="s">
        <v>170</v>
      </c>
      <c r="U35" s="172">
        <f>1009417</f>
        <v>1009417</v>
      </c>
    </row>
    <row r="36" spans="1:21" x14ac:dyDescent="0.2">
      <c r="A36" s="170" t="s">
        <v>171</v>
      </c>
      <c r="B36" s="172">
        <f>77977</f>
        <v>77977</v>
      </c>
      <c r="C36" s="151" t="s">
        <v>47</v>
      </c>
      <c r="D36">
        <v>1</v>
      </c>
      <c r="E36" s="149">
        <f t="shared" si="24"/>
        <v>0.9015544041450777</v>
      </c>
      <c r="F36" s="149">
        <f t="shared" si="25"/>
        <v>9.8445595854922283E-2</v>
      </c>
      <c r="G36" s="149"/>
      <c r="H36" s="149"/>
      <c r="I36" s="149"/>
      <c r="K36" s="153">
        <f t="shared" si="26"/>
        <v>70300.507772020719</v>
      </c>
      <c r="L36" s="153">
        <f t="shared" si="27"/>
        <v>7676.4922279792745</v>
      </c>
      <c r="M36" s="153">
        <f t="shared" si="28"/>
        <v>0</v>
      </c>
      <c r="N36" s="153">
        <f t="shared" si="29"/>
        <v>0</v>
      </c>
      <c r="O36" s="153">
        <f t="shared" si="30"/>
        <v>0</v>
      </c>
      <c r="Q36" s="157">
        <f t="shared" si="6"/>
        <v>0</v>
      </c>
      <c r="S36" s="168" t="b">
        <f t="shared" si="4"/>
        <v>1</v>
      </c>
      <c r="T36" s="170" t="s">
        <v>171</v>
      </c>
      <c r="U36" s="172">
        <f>77977</f>
        <v>77977</v>
      </c>
    </row>
    <row r="37" spans="1:21" x14ac:dyDescent="0.2">
      <c r="A37" s="170" t="s">
        <v>321</v>
      </c>
      <c r="B37" s="172">
        <f>65000</f>
        <v>65000</v>
      </c>
      <c r="C37" s="151" t="s">
        <v>47</v>
      </c>
      <c r="D37" s="168">
        <v>1</v>
      </c>
      <c r="E37" s="149">
        <f t="shared" si="24"/>
        <v>0.9015544041450777</v>
      </c>
      <c r="F37" s="149">
        <f t="shared" si="25"/>
        <v>9.8445595854922283E-2</v>
      </c>
      <c r="G37" s="149"/>
      <c r="H37" s="149"/>
      <c r="I37" s="149"/>
      <c r="J37" s="168"/>
      <c r="K37" s="153">
        <f t="shared" ref="K37" si="31">B37*E37</f>
        <v>58601.036269430049</v>
      </c>
      <c r="L37" s="153">
        <f t="shared" ref="L37" si="32">B37*F37</f>
        <v>6398.963730569948</v>
      </c>
      <c r="M37" s="153">
        <f t="shared" ref="M37" si="33">B37*G37</f>
        <v>0</v>
      </c>
      <c r="N37" s="153">
        <f t="shared" ref="N37" si="34">B37*H37</f>
        <v>0</v>
      </c>
      <c r="O37" s="153">
        <f t="shared" ref="O37" si="35">B37*I37</f>
        <v>0</v>
      </c>
      <c r="P37" s="168"/>
      <c r="Q37" s="157">
        <f t="shared" ref="Q37" si="36">SUM(K37:P37)-B37</f>
        <v>0</v>
      </c>
      <c r="S37" s="168" t="b">
        <f t="shared" si="4"/>
        <v>1</v>
      </c>
      <c r="T37" s="170" t="s">
        <v>321</v>
      </c>
      <c r="U37" s="172">
        <f>65000</f>
        <v>65000</v>
      </c>
    </row>
    <row r="38" spans="1:21" x14ac:dyDescent="0.2">
      <c r="A38" s="170" t="s">
        <v>172</v>
      </c>
      <c r="B38" s="172">
        <f>63630</f>
        <v>63630</v>
      </c>
      <c r="C38" s="151" t="s">
        <v>47</v>
      </c>
      <c r="D38">
        <v>1</v>
      </c>
      <c r="E38" s="149">
        <f t="shared" si="24"/>
        <v>0.9015544041450777</v>
      </c>
      <c r="F38" s="149">
        <f t="shared" si="25"/>
        <v>9.8445595854922283E-2</v>
      </c>
      <c r="G38" s="149"/>
      <c r="H38" s="149"/>
      <c r="I38" s="149"/>
      <c r="K38" s="153">
        <f t="shared" si="26"/>
        <v>57365.906735751298</v>
      </c>
      <c r="L38" s="153">
        <f t="shared" si="27"/>
        <v>6264.0932642487051</v>
      </c>
      <c r="M38" s="153">
        <f t="shared" si="28"/>
        <v>0</v>
      </c>
      <c r="N38" s="153">
        <f t="shared" si="29"/>
        <v>0</v>
      </c>
      <c r="O38" s="153">
        <f t="shared" si="30"/>
        <v>0</v>
      </c>
      <c r="Q38" s="157">
        <f t="shared" si="6"/>
        <v>0</v>
      </c>
      <c r="S38" s="168" t="b">
        <f t="shared" si="4"/>
        <v>1</v>
      </c>
      <c r="T38" s="170" t="s">
        <v>172</v>
      </c>
      <c r="U38" s="172">
        <f>63630</f>
        <v>63630</v>
      </c>
    </row>
    <row r="39" spans="1:21" x14ac:dyDescent="0.2">
      <c r="A39" s="170" t="s">
        <v>173</v>
      </c>
      <c r="B39" s="172">
        <f>122370</f>
        <v>122370</v>
      </c>
      <c r="C39" s="151" t="s">
        <v>47</v>
      </c>
      <c r="D39">
        <v>2</v>
      </c>
      <c r="E39" s="149">
        <f t="shared" si="24"/>
        <v>0.9015544041450777</v>
      </c>
      <c r="F39" s="149">
        <f t="shared" si="25"/>
        <v>9.8445595854922283E-2</v>
      </c>
      <c r="G39" s="149"/>
      <c r="H39" s="149"/>
      <c r="I39" s="149"/>
      <c r="K39" s="153">
        <f t="shared" si="26"/>
        <v>110323.21243523316</v>
      </c>
      <c r="L39" s="153">
        <f t="shared" si="27"/>
        <v>12046.787564766839</v>
      </c>
      <c r="M39" s="153">
        <f t="shared" si="28"/>
        <v>0</v>
      </c>
      <c r="N39" s="153">
        <f t="shared" si="29"/>
        <v>0</v>
      </c>
      <c r="O39" s="153">
        <f t="shared" si="30"/>
        <v>0</v>
      </c>
      <c r="Q39" s="157">
        <f t="shared" si="6"/>
        <v>0</v>
      </c>
      <c r="S39" s="168" t="b">
        <f t="shared" si="4"/>
        <v>1</v>
      </c>
      <c r="T39" s="170" t="s">
        <v>173</v>
      </c>
      <c r="U39" s="172">
        <f>122370</f>
        <v>122370</v>
      </c>
    </row>
    <row r="40" spans="1:21" x14ac:dyDescent="0.2">
      <c r="A40" s="170" t="s">
        <v>174</v>
      </c>
      <c r="B40" s="172">
        <f>90100</f>
        <v>90100</v>
      </c>
      <c r="C40" s="151" t="s">
        <v>37</v>
      </c>
      <c r="D40">
        <v>1</v>
      </c>
      <c r="E40" s="149">
        <f t="shared" si="24"/>
        <v>0.9015544041450777</v>
      </c>
      <c r="F40" s="149">
        <f t="shared" si="25"/>
        <v>9.8445595854922283E-2</v>
      </c>
      <c r="G40" s="149"/>
      <c r="H40" s="149"/>
      <c r="I40" s="149"/>
      <c r="K40" s="153">
        <f t="shared" si="26"/>
        <v>81230.051813471495</v>
      </c>
      <c r="L40" s="153">
        <f t="shared" si="27"/>
        <v>8869.9481865284979</v>
      </c>
      <c r="M40" s="153">
        <f t="shared" si="28"/>
        <v>0</v>
      </c>
      <c r="N40" s="153">
        <f t="shared" si="29"/>
        <v>0</v>
      </c>
      <c r="O40" s="153">
        <f t="shared" si="30"/>
        <v>0</v>
      </c>
      <c r="Q40" s="157">
        <f t="shared" si="6"/>
        <v>0</v>
      </c>
      <c r="S40" s="168" t="b">
        <f t="shared" si="4"/>
        <v>1</v>
      </c>
      <c r="T40" s="170" t="s">
        <v>174</v>
      </c>
      <c r="U40" s="172">
        <f>90100</f>
        <v>90100</v>
      </c>
    </row>
    <row r="41" spans="1:21" x14ac:dyDescent="0.2">
      <c r="A41" s="170" t="s">
        <v>175</v>
      </c>
      <c r="B41" s="172">
        <f>59740</f>
        <v>59740</v>
      </c>
      <c r="C41" s="151" t="s">
        <v>43</v>
      </c>
      <c r="D41">
        <v>1</v>
      </c>
      <c r="E41" s="149">
        <f t="shared" si="24"/>
        <v>0.9015544041450777</v>
      </c>
      <c r="F41" s="149">
        <f t="shared" si="25"/>
        <v>9.8445595854922283E-2</v>
      </c>
      <c r="G41" s="149"/>
      <c r="H41" s="149"/>
      <c r="I41" s="149"/>
      <c r="K41" s="153">
        <f t="shared" si="26"/>
        <v>53858.860103626939</v>
      </c>
      <c r="L41" s="153">
        <f t="shared" si="27"/>
        <v>5881.1398963730571</v>
      </c>
      <c r="M41" s="153">
        <f t="shared" si="28"/>
        <v>0</v>
      </c>
      <c r="N41" s="153">
        <f t="shared" si="29"/>
        <v>0</v>
      </c>
      <c r="O41" s="153">
        <f t="shared" si="30"/>
        <v>0</v>
      </c>
      <c r="Q41" s="157">
        <f t="shared" si="6"/>
        <v>0</v>
      </c>
      <c r="S41" s="168" t="b">
        <f t="shared" si="4"/>
        <v>1</v>
      </c>
      <c r="T41" s="170" t="s">
        <v>175</v>
      </c>
      <c r="U41" s="172">
        <f>59740</f>
        <v>59740</v>
      </c>
    </row>
    <row r="42" spans="1:21" x14ac:dyDescent="0.2">
      <c r="A42" s="170" t="s">
        <v>176</v>
      </c>
      <c r="B42" s="172">
        <f>123023</f>
        <v>123023</v>
      </c>
      <c r="C42" s="151" t="s">
        <v>47</v>
      </c>
      <c r="D42">
        <v>2</v>
      </c>
      <c r="E42" s="149">
        <f t="shared" si="24"/>
        <v>0.9015544041450777</v>
      </c>
      <c r="F42" s="149">
        <f t="shared" si="25"/>
        <v>9.8445595854922283E-2</v>
      </c>
      <c r="G42" s="149"/>
      <c r="H42" s="149"/>
      <c r="I42" s="149"/>
      <c r="K42" s="153">
        <f t="shared" si="26"/>
        <v>110911.9274611399</v>
      </c>
      <c r="L42" s="153">
        <f t="shared" si="27"/>
        <v>12111.072538860104</v>
      </c>
      <c r="M42" s="153">
        <f t="shared" si="28"/>
        <v>0</v>
      </c>
      <c r="N42" s="153">
        <f t="shared" si="29"/>
        <v>0</v>
      </c>
      <c r="O42" s="153">
        <f t="shared" si="30"/>
        <v>0</v>
      </c>
      <c r="Q42" s="157">
        <f t="shared" si="6"/>
        <v>0</v>
      </c>
      <c r="S42" s="168" t="b">
        <f t="shared" si="4"/>
        <v>1</v>
      </c>
      <c r="T42" s="170" t="s">
        <v>176</v>
      </c>
      <c r="U42" s="172">
        <f>123023</f>
        <v>123023</v>
      </c>
    </row>
    <row r="43" spans="1:21" x14ac:dyDescent="0.2">
      <c r="A43" s="170" t="s">
        <v>177</v>
      </c>
      <c r="B43" s="172">
        <f>65000</f>
        <v>65000</v>
      </c>
      <c r="C43" s="151" t="s">
        <v>47</v>
      </c>
      <c r="D43">
        <v>1</v>
      </c>
      <c r="E43" s="149">
        <f t="shared" si="24"/>
        <v>0.9015544041450777</v>
      </c>
      <c r="F43" s="149">
        <f t="shared" si="25"/>
        <v>9.8445595854922283E-2</v>
      </c>
      <c r="G43" s="149"/>
      <c r="H43" s="149"/>
      <c r="I43" s="149"/>
      <c r="K43" s="153">
        <f t="shared" si="26"/>
        <v>58601.036269430049</v>
      </c>
      <c r="L43" s="153">
        <f t="shared" si="27"/>
        <v>6398.963730569948</v>
      </c>
      <c r="M43" s="153">
        <f t="shared" si="28"/>
        <v>0</v>
      </c>
      <c r="N43" s="153">
        <f t="shared" si="29"/>
        <v>0</v>
      </c>
      <c r="O43" s="153">
        <f t="shared" si="30"/>
        <v>0</v>
      </c>
      <c r="Q43" s="157">
        <f t="shared" si="6"/>
        <v>0</v>
      </c>
      <c r="S43" s="168" t="b">
        <f t="shared" si="4"/>
        <v>1</v>
      </c>
      <c r="T43" s="170" t="s">
        <v>177</v>
      </c>
      <c r="U43" s="172">
        <f>65000</f>
        <v>65000</v>
      </c>
    </row>
    <row r="44" spans="1:21" x14ac:dyDescent="0.2">
      <c r="A44" s="170" t="s">
        <v>322</v>
      </c>
      <c r="B44" s="172">
        <f>86000</f>
        <v>86000</v>
      </c>
      <c r="C44" s="151" t="s">
        <v>37</v>
      </c>
      <c r="D44" s="168">
        <v>1</v>
      </c>
      <c r="E44" s="149">
        <f t="shared" si="24"/>
        <v>0.9015544041450777</v>
      </c>
      <c r="F44" s="149">
        <f t="shared" si="25"/>
        <v>9.8445595854922283E-2</v>
      </c>
      <c r="G44" s="149"/>
      <c r="H44" s="149"/>
      <c r="I44" s="149"/>
      <c r="J44" s="168"/>
      <c r="K44" s="153">
        <f t="shared" ref="K44:K45" si="37">B44*E44</f>
        <v>77533.678756476686</v>
      </c>
      <c r="L44" s="153">
        <f t="shared" ref="L44:L45" si="38">B44*F44</f>
        <v>8466.3212435233163</v>
      </c>
      <c r="M44" s="153">
        <f t="shared" ref="M44:M45" si="39">B44*G44</f>
        <v>0</v>
      </c>
      <c r="N44" s="153">
        <f t="shared" ref="N44:N45" si="40">B44*H44</f>
        <v>0</v>
      </c>
      <c r="O44" s="153">
        <f t="shared" ref="O44:O45" si="41">B44*I44</f>
        <v>0</v>
      </c>
      <c r="P44" s="168"/>
      <c r="Q44" s="157">
        <f t="shared" ref="Q44:Q45" si="42">SUM(K44:P44)-B44</f>
        <v>0</v>
      </c>
      <c r="S44" s="168" t="b">
        <f t="shared" si="4"/>
        <v>1</v>
      </c>
      <c r="T44" s="170" t="s">
        <v>322</v>
      </c>
      <c r="U44" s="172">
        <f>86000</f>
        <v>86000</v>
      </c>
    </row>
    <row r="45" spans="1:21" x14ac:dyDescent="0.2">
      <c r="A45" s="170" t="s">
        <v>323</v>
      </c>
      <c r="B45" s="172">
        <f>70000</f>
        <v>70000</v>
      </c>
      <c r="C45" s="151" t="s">
        <v>37</v>
      </c>
      <c r="D45" s="168">
        <v>1</v>
      </c>
      <c r="E45" s="149">
        <f t="shared" si="24"/>
        <v>0.9015544041450777</v>
      </c>
      <c r="F45" s="149">
        <f t="shared" si="25"/>
        <v>9.8445595854922283E-2</v>
      </c>
      <c r="G45" s="149"/>
      <c r="H45" s="149"/>
      <c r="I45" s="149"/>
      <c r="J45" s="168"/>
      <c r="K45" s="153">
        <f t="shared" si="37"/>
        <v>63108.808290155437</v>
      </c>
      <c r="L45" s="153">
        <f t="shared" si="38"/>
        <v>6891.1917098445601</v>
      </c>
      <c r="M45" s="153">
        <f t="shared" si="39"/>
        <v>0</v>
      </c>
      <c r="N45" s="153">
        <f t="shared" si="40"/>
        <v>0</v>
      </c>
      <c r="O45" s="153">
        <f t="shared" si="41"/>
        <v>0</v>
      </c>
      <c r="P45" s="168"/>
      <c r="Q45" s="157">
        <f t="shared" si="42"/>
        <v>0</v>
      </c>
      <c r="S45" s="168" t="b">
        <f t="shared" si="4"/>
        <v>1</v>
      </c>
      <c r="T45" s="170" t="s">
        <v>323</v>
      </c>
      <c r="U45" s="172">
        <f>70000</f>
        <v>70000</v>
      </c>
    </row>
    <row r="46" spans="1:21" x14ac:dyDescent="0.2">
      <c r="A46" s="170" t="s">
        <v>178</v>
      </c>
      <c r="B46" s="172">
        <f>84800</f>
        <v>84800</v>
      </c>
      <c r="C46" s="151" t="s">
        <v>37</v>
      </c>
      <c r="D46">
        <v>1</v>
      </c>
      <c r="E46" s="149">
        <f t="shared" si="24"/>
        <v>0.9015544041450777</v>
      </c>
      <c r="F46" s="149">
        <f t="shared" si="25"/>
        <v>9.8445595854922283E-2</v>
      </c>
      <c r="G46" s="149"/>
      <c r="H46" s="149"/>
      <c r="I46" s="149"/>
      <c r="K46" s="153">
        <f t="shared" si="26"/>
        <v>76451.813471502595</v>
      </c>
      <c r="L46" s="153">
        <f t="shared" si="27"/>
        <v>8348.1865284974101</v>
      </c>
      <c r="M46" s="153">
        <f t="shared" si="28"/>
        <v>0</v>
      </c>
      <c r="N46" s="153">
        <f t="shared" si="29"/>
        <v>0</v>
      </c>
      <c r="O46" s="153">
        <f t="shared" si="30"/>
        <v>0</v>
      </c>
      <c r="Q46" s="157">
        <f t="shared" si="6"/>
        <v>0</v>
      </c>
      <c r="S46" s="168" t="b">
        <f t="shared" si="4"/>
        <v>1</v>
      </c>
      <c r="T46" s="170" t="s">
        <v>178</v>
      </c>
      <c r="U46" s="172">
        <f>84800</f>
        <v>84800</v>
      </c>
    </row>
    <row r="47" spans="1:21" x14ac:dyDescent="0.2">
      <c r="A47" s="170" t="s">
        <v>179</v>
      </c>
      <c r="B47" s="172">
        <f>150780</f>
        <v>150780</v>
      </c>
      <c r="C47" s="151" t="s">
        <v>37</v>
      </c>
      <c r="D47">
        <v>2</v>
      </c>
      <c r="E47" s="149">
        <f t="shared" si="24"/>
        <v>0.9015544041450777</v>
      </c>
      <c r="F47" s="149">
        <f t="shared" si="25"/>
        <v>9.8445595854922283E-2</v>
      </c>
      <c r="G47" s="149"/>
      <c r="H47" s="149"/>
      <c r="I47" s="149"/>
      <c r="K47" s="153">
        <f t="shared" si="26"/>
        <v>135936.37305699481</v>
      </c>
      <c r="L47" s="153">
        <f t="shared" si="27"/>
        <v>14843.626943005182</v>
      </c>
      <c r="M47" s="153">
        <f t="shared" si="28"/>
        <v>0</v>
      </c>
      <c r="N47" s="153">
        <f t="shared" si="29"/>
        <v>0</v>
      </c>
      <c r="O47" s="153">
        <f t="shared" si="30"/>
        <v>0</v>
      </c>
      <c r="Q47" s="157">
        <f t="shared" si="6"/>
        <v>0</v>
      </c>
      <c r="S47" s="168" t="b">
        <f t="shared" si="4"/>
        <v>1</v>
      </c>
      <c r="T47" s="170" t="s">
        <v>179</v>
      </c>
      <c r="U47" s="172">
        <f>150780</f>
        <v>150780</v>
      </c>
    </row>
    <row r="48" spans="1:21" x14ac:dyDescent="0.2">
      <c r="A48" s="170" t="s">
        <v>324</v>
      </c>
      <c r="B48" s="172">
        <f>98749</f>
        <v>98749</v>
      </c>
      <c r="C48" s="151" t="s">
        <v>37</v>
      </c>
      <c r="D48">
        <v>1</v>
      </c>
      <c r="E48" s="149">
        <f t="shared" si="24"/>
        <v>0.9015544041450777</v>
      </c>
      <c r="F48" s="149">
        <f t="shared" si="25"/>
        <v>9.8445595854922283E-2</v>
      </c>
      <c r="G48" s="149"/>
      <c r="H48" s="149"/>
      <c r="I48" s="149"/>
      <c r="K48" s="153">
        <f t="shared" ref="K48:K53" si="43">B48*E48</f>
        <v>89027.595854922285</v>
      </c>
      <c r="L48" s="153">
        <f t="shared" ref="L48:L53" si="44">B48*F48</f>
        <v>9721.4041450777204</v>
      </c>
      <c r="M48" s="153">
        <f t="shared" ref="M48:M53" si="45">B48*G48</f>
        <v>0</v>
      </c>
      <c r="N48" s="153">
        <f t="shared" ref="N48:N53" si="46">B48*H48</f>
        <v>0</v>
      </c>
      <c r="O48" s="153">
        <f t="shared" ref="O48:O53" si="47">B48*I48</f>
        <v>0</v>
      </c>
      <c r="Q48" s="157">
        <f t="shared" si="6"/>
        <v>0</v>
      </c>
      <c r="S48" s="168" t="b">
        <f t="shared" si="4"/>
        <v>1</v>
      </c>
      <c r="T48" s="170" t="s">
        <v>324</v>
      </c>
      <c r="U48" s="172">
        <f>98749</f>
        <v>98749</v>
      </c>
    </row>
    <row r="49" spans="1:21" x14ac:dyDescent="0.2">
      <c r="A49" s="170" t="s">
        <v>325</v>
      </c>
      <c r="B49" s="172">
        <f>70000</f>
        <v>70000</v>
      </c>
      <c r="C49" s="151" t="s">
        <v>37</v>
      </c>
      <c r="D49" s="168">
        <v>1</v>
      </c>
      <c r="E49" s="149">
        <f t="shared" si="24"/>
        <v>0.9015544041450777</v>
      </c>
      <c r="F49" s="149">
        <f t="shared" si="25"/>
        <v>9.8445595854922283E-2</v>
      </c>
      <c r="G49" s="149"/>
      <c r="H49" s="149"/>
      <c r="I49" s="149"/>
      <c r="J49" s="168"/>
      <c r="K49" s="153">
        <f t="shared" ref="K49" si="48">B49*E49</f>
        <v>63108.808290155437</v>
      </c>
      <c r="L49" s="153">
        <f t="shared" ref="L49" si="49">B49*F49</f>
        <v>6891.1917098445601</v>
      </c>
      <c r="M49" s="153">
        <f t="shared" ref="M49" si="50">B49*G49</f>
        <v>0</v>
      </c>
      <c r="N49" s="153">
        <f t="shared" ref="N49" si="51">B49*H49</f>
        <v>0</v>
      </c>
      <c r="O49" s="153">
        <f t="shared" ref="O49" si="52">B49*I49</f>
        <v>0</v>
      </c>
      <c r="P49" s="168"/>
      <c r="Q49" s="157">
        <f t="shared" ref="Q49" si="53">SUM(K49:P49)-B49</f>
        <v>0</v>
      </c>
      <c r="S49" s="168" t="b">
        <f t="shared" si="4"/>
        <v>1</v>
      </c>
      <c r="T49" s="170" t="s">
        <v>325</v>
      </c>
      <c r="U49" s="172">
        <f>70000</f>
        <v>70000</v>
      </c>
    </row>
    <row r="50" spans="1:21" x14ac:dyDescent="0.2">
      <c r="A50" s="170" t="s">
        <v>180</v>
      </c>
      <c r="B50" s="172">
        <f>145100</f>
        <v>145100</v>
      </c>
      <c r="C50" s="151" t="s">
        <v>49</v>
      </c>
      <c r="D50">
        <v>2</v>
      </c>
      <c r="E50" s="149">
        <f t="shared" si="24"/>
        <v>0.9015544041450777</v>
      </c>
      <c r="F50" s="149">
        <f t="shared" si="25"/>
        <v>9.8445595854922283E-2</v>
      </c>
      <c r="G50" s="149"/>
      <c r="H50" s="149"/>
      <c r="I50" s="149"/>
      <c r="K50" s="153">
        <f t="shared" si="43"/>
        <v>130815.54404145078</v>
      </c>
      <c r="L50" s="153">
        <f t="shared" si="44"/>
        <v>14284.455958549222</v>
      </c>
      <c r="M50" s="153">
        <f t="shared" si="45"/>
        <v>0</v>
      </c>
      <c r="N50" s="153">
        <f t="shared" si="46"/>
        <v>0</v>
      </c>
      <c r="O50" s="153">
        <f t="shared" si="47"/>
        <v>0</v>
      </c>
      <c r="Q50" s="157">
        <f t="shared" si="6"/>
        <v>0</v>
      </c>
      <c r="S50" s="168" t="b">
        <f t="shared" si="4"/>
        <v>1</v>
      </c>
      <c r="T50" s="170" t="s">
        <v>180</v>
      </c>
      <c r="U50" s="172">
        <f>145100</f>
        <v>145100</v>
      </c>
    </row>
    <row r="51" spans="1:21" x14ac:dyDescent="0.2">
      <c r="A51" s="170" t="s">
        <v>181</v>
      </c>
      <c r="B51" s="172">
        <f>724717</f>
        <v>724717</v>
      </c>
      <c r="C51" s="151" t="s">
        <v>44</v>
      </c>
      <c r="D51">
        <v>11</v>
      </c>
      <c r="E51" s="149">
        <f t="shared" si="24"/>
        <v>0.9015544041450777</v>
      </c>
      <c r="F51" s="149">
        <f t="shared" si="25"/>
        <v>9.8445595854922283E-2</v>
      </c>
      <c r="G51" s="149"/>
      <c r="H51" s="149"/>
      <c r="I51" s="149"/>
      <c r="K51" s="153">
        <f t="shared" si="43"/>
        <v>653371.80310880824</v>
      </c>
      <c r="L51" s="153">
        <f t="shared" si="44"/>
        <v>71345.196891191707</v>
      </c>
      <c r="M51" s="153">
        <f t="shared" si="45"/>
        <v>0</v>
      </c>
      <c r="N51" s="153">
        <f t="shared" si="46"/>
        <v>0</v>
      </c>
      <c r="O51" s="153">
        <f t="shared" si="47"/>
        <v>0</v>
      </c>
      <c r="Q51" s="157">
        <f t="shared" si="6"/>
        <v>0</v>
      </c>
      <c r="S51" s="168" t="b">
        <f t="shared" si="4"/>
        <v>1</v>
      </c>
      <c r="T51" s="170" t="s">
        <v>181</v>
      </c>
      <c r="U51" s="172">
        <f>724717</f>
        <v>724717</v>
      </c>
    </row>
    <row r="52" spans="1:21" x14ac:dyDescent="0.2">
      <c r="A52" s="170" t="s">
        <v>182</v>
      </c>
      <c r="B52" s="172">
        <f>128433</f>
        <v>128433</v>
      </c>
      <c r="C52" s="151" t="s">
        <v>43</v>
      </c>
      <c r="D52">
        <v>2</v>
      </c>
      <c r="E52" s="149">
        <f t="shared" si="24"/>
        <v>0.9015544041450777</v>
      </c>
      <c r="F52" s="149">
        <f t="shared" si="25"/>
        <v>9.8445595854922283E-2</v>
      </c>
      <c r="G52" s="149"/>
      <c r="H52" s="149"/>
      <c r="I52" s="149"/>
      <c r="K52" s="153">
        <f t="shared" si="43"/>
        <v>115789.33678756477</v>
      </c>
      <c r="L52" s="153">
        <f t="shared" si="44"/>
        <v>12643.663212435233</v>
      </c>
      <c r="M52" s="153">
        <f t="shared" si="45"/>
        <v>0</v>
      </c>
      <c r="N52" s="153">
        <f t="shared" si="46"/>
        <v>0</v>
      </c>
      <c r="O52" s="153">
        <f t="shared" si="47"/>
        <v>0</v>
      </c>
      <c r="Q52" s="157">
        <f t="shared" si="6"/>
        <v>0</v>
      </c>
      <c r="S52" s="168" t="b">
        <f t="shared" si="4"/>
        <v>1</v>
      </c>
      <c r="T52" s="170" t="s">
        <v>182</v>
      </c>
      <c r="U52" s="172">
        <f>128433</f>
        <v>128433</v>
      </c>
    </row>
    <row r="53" spans="1:21" x14ac:dyDescent="0.2">
      <c r="A53" s="170" t="s">
        <v>183</v>
      </c>
      <c r="B53" s="172">
        <f>80000</f>
        <v>80000</v>
      </c>
      <c r="C53" s="151" t="s">
        <v>46</v>
      </c>
      <c r="D53">
        <v>2</v>
      </c>
      <c r="E53" s="149">
        <f t="shared" si="24"/>
        <v>0.9015544041450777</v>
      </c>
      <c r="F53" s="149">
        <f t="shared" si="25"/>
        <v>9.8445595854922283E-2</v>
      </c>
      <c r="G53" s="149"/>
      <c r="H53" s="149"/>
      <c r="I53" s="149"/>
      <c r="K53" s="153">
        <f t="shared" si="43"/>
        <v>72124.35233160622</v>
      </c>
      <c r="L53" s="153">
        <f t="shared" si="44"/>
        <v>7875.6476683937826</v>
      </c>
      <c r="M53" s="153">
        <f t="shared" si="45"/>
        <v>0</v>
      </c>
      <c r="N53" s="153">
        <f t="shared" si="46"/>
        <v>0</v>
      </c>
      <c r="O53" s="153">
        <f t="shared" si="47"/>
        <v>0</v>
      </c>
      <c r="Q53" s="157">
        <f t="shared" si="6"/>
        <v>0</v>
      </c>
      <c r="S53" s="168" t="b">
        <f t="shared" si="4"/>
        <v>1</v>
      </c>
      <c r="T53" s="170" t="s">
        <v>183</v>
      </c>
      <c r="U53" s="172">
        <f>80000</f>
        <v>80000</v>
      </c>
    </row>
    <row r="54" spans="1:21" x14ac:dyDescent="0.2">
      <c r="A54" s="170" t="s">
        <v>184</v>
      </c>
      <c r="B54" s="173">
        <f>((((((((((((((((((((((B31)+(B32))+(B33))+(B34))+(B35))+(B36))+(B37))+(B38))+(B39))+(B40))+(B41))+(B42))+(B43))+(B44))+(B45))+(B46))+(B47))+(B48))+(B49))+(B50))+(B51))+(B52))+(B53)</f>
        <v>3648028.2199999997</v>
      </c>
      <c r="E54" s="150" t="s">
        <v>305</v>
      </c>
      <c r="F54" s="150" t="s">
        <v>305</v>
      </c>
      <c r="G54" s="150" t="s">
        <v>305</v>
      </c>
      <c r="H54" s="150" t="s">
        <v>305</v>
      </c>
      <c r="I54" s="150" t="s">
        <v>305</v>
      </c>
      <c r="K54" s="150" t="s">
        <v>305</v>
      </c>
      <c r="L54" s="150" t="s">
        <v>305</v>
      </c>
      <c r="M54" s="150" t="s">
        <v>305</v>
      </c>
      <c r="N54" s="150" t="s">
        <v>305</v>
      </c>
      <c r="O54" s="150" t="s">
        <v>305</v>
      </c>
      <c r="Q54" s="157">
        <f t="shared" si="6"/>
        <v>-3648028.2199999997</v>
      </c>
      <c r="S54" s="168" t="b">
        <f t="shared" si="4"/>
        <v>1</v>
      </c>
      <c r="T54" s="170" t="s">
        <v>184</v>
      </c>
      <c r="U54" s="173">
        <f>((((((((((((((((((((((U31)+(U32))+(U33))+(U34))+(U35))+(U36))+(U37))+(U38))+(U39))+(U40))+(U41))+(U42))+(U43))+(U44))+(U45))+(U46))+(U47))+(U48))+(U49))+(U50))+(U51))+(U52))+(U53)</f>
        <v>3648028.2199999997</v>
      </c>
    </row>
    <row r="55" spans="1:21" x14ac:dyDescent="0.2">
      <c r="A55" s="170" t="s">
        <v>185</v>
      </c>
      <c r="B55" s="171"/>
      <c r="Q55" s="157">
        <f t="shared" si="6"/>
        <v>0</v>
      </c>
      <c r="S55" s="168" t="b">
        <f t="shared" si="4"/>
        <v>1</v>
      </c>
      <c r="T55" s="170" t="s">
        <v>185</v>
      </c>
      <c r="U55" s="171"/>
    </row>
    <row r="56" spans="1:21" x14ac:dyDescent="0.2">
      <c r="A56" s="170" t="s">
        <v>186</v>
      </c>
      <c r="B56" s="172">
        <f>77500</f>
        <v>77500</v>
      </c>
      <c r="C56" s="151" t="s">
        <v>39</v>
      </c>
      <c r="D56">
        <v>1</v>
      </c>
      <c r="E56" s="167">
        <v>0.5</v>
      </c>
      <c r="F56" s="167">
        <v>0.1</v>
      </c>
      <c r="G56" s="167"/>
      <c r="H56" s="167"/>
      <c r="I56" s="167">
        <v>0.4</v>
      </c>
      <c r="K56" s="153">
        <f t="shared" ref="K56" si="54">B56*E56</f>
        <v>38750</v>
      </c>
      <c r="L56" s="153">
        <f t="shared" ref="L56" si="55">B56*F56</f>
        <v>7750</v>
      </c>
      <c r="M56" s="153">
        <f t="shared" ref="M56" si="56">B56*G56</f>
        <v>0</v>
      </c>
      <c r="N56" s="153">
        <f t="shared" ref="N56" si="57">B56*H56</f>
        <v>0</v>
      </c>
      <c r="O56" s="153">
        <f t="shared" ref="O56" si="58">B56*I56</f>
        <v>31000</v>
      </c>
      <c r="Q56" s="157">
        <f t="shared" si="6"/>
        <v>0</v>
      </c>
      <c r="S56" s="168" t="b">
        <f t="shared" si="4"/>
        <v>1</v>
      </c>
      <c r="T56" s="170" t="s">
        <v>186</v>
      </c>
      <c r="U56" s="172">
        <f>77500</f>
        <v>77500</v>
      </c>
    </row>
    <row r="57" spans="1:21" x14ac:dyDescent="0.2">
      <c r="A57" s="170" t="s">
        <v>187</v>
      </c>
      <c r="B57" s="172">
        <f>50000</f>
        <v>50000</v>
      </c>
      <c r="C57" s="151" t="s">
        <v>40</v>
      </c>
      <c r="D57">
        <v>1</v>
      </c>
      <c r="E57" s="167">
        <v>0.5</v>
      </c>
      <c r="F57" s="167">
        <v>0.1</v>
      </c>
      <c r="G57" s="167"/>
      <c r="H57" s="167"/>
      <c r="I57" s="167">
        <v>0.4</v>
      </c>
      <c r="K57" s="153">
        <f t="shared" ref="K57:K63" si="59">B57*E57</f>
        <v>25000</v>
      </c>
      <c r="L57" s="153">
        <f t="shared" ref="L57:L64" si="60">B57*F57</f>
        <v>5000</v>
      </c>
      <c r="M57" s="153">
        <f t="shared" ref="M57:M64" si="61">B57*G57</f>
        <v>0</v>
      </c>
      <c r="N57" s="153">
        <f t="shared" ref="N57:N64" si="62">B57*H57</f>
        <v>0</v>
      </c>
      <c r="O57" s="153">
        <f t="shared" ref="O57:O64" si="63">B57*I57</f>
        <v>20000</v>
      </c>
      <c r="Q57" s="157">
        <f t="shared" si="6"/>
        <v>0</v>
      </c>
      <c r="S57" s="168" t="b">
        <f t="shared" si="4"/>
        <v>1</v>
      </c>
      <c r="T57" s="170" t="s">
        <v>187</v>
      </c>
      <c r="U57" s="172">
        <f>50000</f>
        <v>50000</v>
      </c>
    </row>
    <row r="58" spans="1:21" x14ac:dyDescent="0.2">
      <c r="A58" s="170" t="s">
        <v>326</v>
      </c>
      <c r="B58" s="172">
        <f>58334</f>
        <v>58334</v>
      </c>
      <c r="C58" s="151" t="s">
        <v>38</v>
      </c>
      <c r="D58" s="168">
        <v>1</v>
      </c>
      <c r="E58" s="167"/>
      <c r="F58" s="167"/>
      <c r="G58" s="167"/>
      <c r="H58" s="167"/>
      <c r="I58" s="167">
        <v>1</v>
      </c>
      <c r="J58" s="168"/>
      <c r="K58" s="153">
        <f t="shared" ref="K58" si="64">B58*E58</f>
        <v>0</v>
      </c>
      <c r="L58" s="153">
        <f t="shared" ref="L58" si="65">B58*F58</f>
        <v>0</v>
      </c>
      <c r="M58" s="153">
        <f t="shared" ref="M58" si="66">B58*G58</f>
        <v>0</v>
      </c>
      <c r="N58" s="153">
        <f t="shared" ref="N58" si="67">B58*H58</f>
        <v>0</v>
      </c>
      <c r="O58" s="153">
        <f t="shared" ref="O58" si="68">B58*I58</f>
        <v>58334</v>
      </c>
      <c r="P58" s="168"/>
      <c r="Q58" s="157">
        <f t="shared" ref="Q58" si="69">SUM(K58:P58)-B58</f>
        <v>0</v>
      </c>
      <c r="S58" s="168" t="b">
        <f t="shared" si="4"/>
        <v>1</v>
      </c>
      <c r="T58" s="170" t="s">
        <v>326</v>
      </c>
      <c r="U58" s="172">
        <f>58334</f>
        <v>58334</v>
      </c>
    </row>
    <row r="59" spans="1:21" x14ac:dyDescent="0.2">
      <c r="A59" s="170" t="s">
        <v>188</v>
      </c>
      <c r="B59" s="172">
        <f>24150</f>
        <v>24150</v>
      </c>
      <c r="C59" s="151" t="s">
        <v>40</v>
      </c>
      <c r="D59" s="180">
        <v>0.3</v>
      </c>
      <c r="E59" s="167"/>
      <c r="F59" s="167"/>
      <c r="G59" s="167"/>
      <c r="H59" s="167"/>
      <c r="I59" s="167">
        <v>1</v>
      </c>
      <c r="K59" s="153">
        <f t="shared" si="59"/>
        <v>0</v>
      </c>
      <c r="L59" s="153">
        <f t="shared" si="60"/>
        <v>0</v>
      </c>
      <c r="M59" s="153">
        <f t="shared" si="61"/>
        <v>0</v>
      </c>
      <c r="N59" s="153">
        <f t="shared" si="62"/>
        <v>0</v>
      </c>
      <c r="O59" s="153">
        <f t="shared" si="63"/>
        <v>24150</v>
      </c>
      <c r="Q59" s="157">
        <f t="shared" si="6"/>
        <v>0</v>
      </c>
      <c r="S59" s="168" t="b">
        <f t="shared" si="4"/>
        <v>1</v>
      </c>
      <c r="T59" s="170" t="s">
        <v>188</v>
      </c>
      <c r="U59" s="172">
        <f>24150</f>
        <v>24150</v>
      </c>
    </row>
    <row r="60" spans="1:21" x14ac:dyDescent="0.2">
      <c r="A60" s="170" t="s">
        <v>189</v>
      </c>
      <c r="B60" s="172">
        <f>74505</f>
        <v>74505</v>
      </c>
      <c r="C60" s="151" t="s">
        <v>54</v>
      </c>
      <c r="D60" s="180">
        <v>2</v>
      </c>
      <c r="E60" s="167"/>
      <c r="F60" s="167"/>
      <c r="G60" s="167"/>
      <c r="H60" s="167"/>
      <c r="I60" s="167">
        <v>1</v>
      </c>
      <c r="K60" s="153">
        <f t="shared" si="59"/>
        <v>0</v>
      </c>
      <c r="L60" s="153">
        <f t="shared" si="60"/>
        <v>0</v>
      </c>
      <c r="M60" s="153">
        <f t="shared" si="61"/>
        <v>0</v>
      </c>
      <c r="N60" s="153">
        <f t="shared" si="62"/>
        <v>0</v>
      </c>
      <c r="O60" s="153">
        <f t="shared" si="63"/>
        <v>74505</v>
      </c>
      <c r="Q60" s="157">
        <f t="shared" si="6"/>
        <v>0</v>
      </c>
      <c r="S60" s="168" t="b">
        <f t="shared" si="4"/>
        <v>1</v>
      </c>
      <c r="T60" s="170" t="s">
        <v>189</v>
      </c>
      <c r="U60" s="172">
        <f>74505</f>
        <v>74505</v>
      </c>
    </row>
    <row r="61" spans="1:21" x14ac:dyDescent="0.2">
      <c r="A61" s="170" t="s">
        <v>190</v>
      </c>
      <c r="B61" s="172">
        <f>71050</f>
        <v>71050</v>
      </c>
      <c r="C61" s="151" t="s">
        <v>40</v>
      </c>
      <c r="D61" s="180">
        <v>2</v>
      </c>
      <c r="E61" s="167">
        <v>0.5</v>
      </c>
      <c r="F61" s="167">
        <v>0.1</v>
      </c>
      <c r="G61" s="167"/>
      <c r="H61" s="167"/>
      <c r="I61" s="167">
        <v>0.4</v>
      </c>
      <c r="K61" s="153">
        <f t="shared" si="59"/>
        <v>35525</v>
      </c>
      <c r="L61" s="153">
        <f t="shared" si="60"/>
        <v>7105</v>
      </c>
      <c r="M61" s="153">
        <f t="shared" si="61"/>
        <v>0</v>
      </c>
      <c r="N61" s="153">
        <f t="shared" si="62"/>
        <v>0</v>
      </c>
      <c r="O61" s="153">
        <f t="shared" si="63"/>
        <v>28420</v>
      </c>
      <c r="Q61" s="157">
        <f t="shared" si="6"/>
        <v>0</v>
      </c>
      <c r="S61" s="168" t="b">
        <f t="shared" si="4"/>
        <v>1</v>
      </c>
      <c r="T61" s="170" t="s">
        <v>190</v>
      </c>
      <c r="U61" s="172">
        <f>71050</f>
        <v>71050</v>
      </c>
    </row>
    <row r="62" spans="1:21" x14ac:dyDescent="0.2">
      <c r="A62" s="170" t="s">
        <v>191</v>
      </c>
      <c r="B62" s="172">
        <f>70000</f>
        <v>70000</v>
      </c>
      <c r="C62" s="151" t="s">
        <v>40</v>
      </c>
      <c r="D62" s="180">
        <v>1</v>
      </c>
      <c r="E62" s="167">
        <v>0.1</v>
      </c>
      <c r="F62" s="167">
        <v>0.05</v>
      </c>
      <c r="G62" s="167"/>
      <c r="H62" s="167"/>
      <c r="I62" s="167">
        <v>0.85</v>
      </c>
      <c r="K62" s="153">
        <f t="shared" si="59"/>
        <v>7000</v>
      </c>
      <c r="L62" s="153">
        <f t="shared" si="60"/>
        <v>3500</v>
      </c>
      <c r="M62" s="153">
        <f t="shared" si="61"/>
        <v>0</v>
      </c>
      <c r="N62" s="153">
        <f t="shared" si="62"/>
        <v>0</v>
      </c>
      <c r="O62" s="153">
        <f t="shared" si="63"/>
        <v>59500</v>
      </c>
      <c r="Q62" s="157">
        <f t="shared" si="6"/>
        <v>0</v>
      </c>
      <c r="S62" s="168" t="b">
        <f t="shared" si="4"/>
        <v>1</v>
      </c>
      <c r="T62" s="170" t="s">
        <v>191</v>
      </c>
      <c r="U62" s="172">
        <f>70000</f>
        <v>70000</v>
      </c>
    </row>
    <row r="63" spans="1:21" x14ac:dyDescent="0.2">
      <c r="A63" s="170" t="s">
        <v>192</v>
      </c>
      <c r="B63" s="172">
        <f>42765</f>
        <v>42765</v>
      </c>
      <c r="C63" s="151" t="s">
        <v>40</v>
      </c>
      <c r="D63" s="180">
        <v>0.6</v>
      </c>
      <c r="E63" s="167">
        <v>0.1</v>
      </c>
      <c r="F63" s="167">
        <v>0.05</v>
      </c>
      <c r="G63" s="167"/>
      <c r="H63" s="167"/>
      <c r="I63" s="167">
        <v>0.85</v>
      </c>
      <c r="K63" s="153">
        <f t="shared" si="59"/>
        <v>4276.5</v>
      </c>
      <c r="L63" s="153">
        <f t="shared" si="60"/>
        <v>2138.25</v>
      </c>
      <c r="M63" s="153">
        <f t="shared" si="61"/>
        <v>0</v>
      </c>
      <c r="N63" s="153">
        <f t="shared" si="62"/>
        <v>0</v>
      </c>
      <c r="O63" s="153">
        <f t="shared" si="63"/>
        <v>36350.25</v>
      </c>
      <c r="Q63" s="157">
        <f t="shared" si="6"/>
        <v>0</v>
      </c>
      <c r="S63" s="168" t="b">
        <f t="shared" si="4"/>
        <v>1</v>
      </c>
      <c r="T63" s="170" t="s">
        <v>192</v>
      </c>
      <c r="U63" s="172">
        <f>42765</f>
        <v>42765</v>
      </c>
    </row>
    <row r="64" spans="1:21" x14ac:dyDescent="0.2">
      <c r="A64" s="170" t="s">
        <v>193</v>
      </c>
      <c r="B64" s="172">
        <f>18750</f>
        <v>18750</v>
      </c>
      <c r="C64" s="151" t="s">
        <v>40</v>
      </c>
      <c r="D64" s="180">
        <v>0.3</v>
      </c>
      <c r="E64" s="167"/>
      <c r="F64" s="167"/>
      <c r="G64" s="167"/>
      <c r="H64" s="167"/>
      <c r="I64" s="167">
        <v>1</v>
      </c>
      <c r="K64" s="153">
        <f>B64*E64</f>
        <v>0</v>
      </c>
      <c r="L64" s="153">
        <f t="shared" si="60"/>
        <v>0</v>
      </c>
      <c r="M64" s="153">
        <f t="shared" si="61"/>
        <v>0</v>
      </c>
      <c r="N64" s="153">
        <f t="shared" si="62"/>
        <v>0</v>
      </c>
      <c r="O64" s="153">
        <f t="shared" si="63"/>
        <v>18750</v>
      </c>
      <c r="Q64" s="157">
        <f t="shared" si="6"/>
        <v>0</v>
      </c>
      <c r="S64" s="168" t="b">
        <f t="shared" si="4"/>
        <v>1</v>
      </c>
      <c r="T64" s="170" t="s">
        <v>193</v>
      </c>
      <c r="U64" s="172">
        <f>18750</f>
        <v>18750</v>
      </c>
    </row>
    <row r="65" spans="1:21" x14ac:dyDescent="0.2">
      <c r="A65" s="170" t="s">
        <v>327</v>
      </c>
      <c r="B65" s="172">
        <f>19050</f>
        <v>19050</v>
      </c>
      <c r="C65" s="151" t="s">
        <v>40</v>
      </c>
      <c r="D65" s="180">
        <v>0.3</v>
      </c>
      <c r="E65" s="167"/>
      <c r="F65" s="167"/>
      <c r="G65" s="167"/>
      <c r="H65" s="167"/>
      <c r="I65" s="167">
        <v>1</v>
      </c>
      <c r="J65" s="168"/>
      <c r="K65" s="153">
        <f>B65*E65</f>
        <v>0</v>
      </c>
      <c r="L65" s="153">
        <f t="shared" ref="L65" si="70">B65*F65</f>
        <v>0</v>
      </c>
      <c r="M65" s="153">
        <f t="shared" ref="M65" si="71">B65*G65</f>
        <v>0</v>
      </c>
      <c r="N65" s="153">
        <f t="shared" ref="N65" si="72">B65*H65</f>
        <v>0</v>
      </c>
      <c r="O65" s="153">
        <f t="shared" ref="O65" si="73">B65*I65</f>
        <v>19050</v>
      </c>
      <c r="P65" s="168"/>
      <c r="Q65" s="157">
        <f t="shared" ref="Q65" si="74">SUM(K65:P65)-B65</f>
        <v>0</v>
      </c>
      <c r="S65" s="168" t="b">
        <f t="shared" si="4"/>
        <v>1</v>
      </c>
      <c r="T65" s="170" t="s">
        <v>327</v>
      </c>
      <c r="U65" s="172">
        <f>19050</f>
        <v>19050</v>
      </c>
    </row>
    <row r="66" spans="1:21" s="146" customFormat="1" x14ac:dyDescent="0.2">
      <c r="A66" s="170" t="s">
        <v>194</v>
      </c>
      <c r="B66" s="173">
        <f>((((((((((B55)+(B56))+(B57))+(B58))+(B59))+(B60))+(B61))+(B62))+(B63))+(B64))+(B65)</f>
        <v>506104</v>
      </c>
      <c r="C66"/>
      <c r="D66"/>
      <c r="E66" s="150" t="s">
        <v>305</v>
      </c>
      <c r="F66" s="150" t="s">
        <v>305</v>
      </c>
      <c r="G66" s="150" t="s">
        <v>305</v>
      </c>
      <c r="H66" s="150" t="s">
        <v>305</v>
      </c>
      <c r="I66" s="150" t="s">
        <v>305</v>
      </c>
      <c r="J66"/>
      <c r="K66" s="150" t="s">
        <v>305</v>
      </c>
      <c r="L66" s="150" t="s">
        <v>305</v>
      </c>
      <c r="M66" s="150" t="s">
        <v>305</v>
      </c>
      <c r="N66" s="150" t="s">
        <v>305</v>
      </c>
      <c r="O66" s="150" t="s">
        <v>305</v>
      </c>
      <c r="P66"/>
      <c r="Q66" s="157">
        <f t="shared" si="6"/>
        <v>-506104</v>
      </c>
      <c r="R66" s="158"/>
      <c r="S66" s="168" t="b">
        <f t="shared" si="4"/>
        <v>1</v>
      </c>
      <c r="T66" s="170" t="s">
        <v>194</v>
      </c>
      <c r="U66" s="173">
        <f>((((((((((U55)+(U56))+(U57))+(U58))+(U59))+(U60))+(U61))+(U62))+(U63))+(U64))+(U65)</f>
        <v>506104</v>
      </c>
    </row>
    <row r="67" spans="1:21" x14ac:dyDescent="0.2">
      <c r="A67" s="170" t="s">
        <v>195</v>
      </c>
      <c r="B67" s="171"/>
      <c r="Q67" s="157">
        <f t="shared" si="6"/>
        <v>0</v>
      </c>
      <c r="S67" s="168" t="b">
        <f t="shared" si="4"/>
        <v>1</v>
      </c>
      <c r="T67" s="170" t="s">
        <v>195</v>
      </c>
      <c r="U67" s="171"/>
    </row>
    <row r="68" spans="1:21" s="169" customFormat="1" x14ac:dyDescent="0.2">
      <c r="A68" s="177" t="s">
        <v>330</v>
      </c>
      <c r="B68" s="178">
        <f>100.4</f>
        <v>100.4</v>
      </c>
      <c r="C68" s="151" t="s">
        <v>308</v>
      </c>
      <c r="E68" s="149">
        <f>$H$3</f>
        <v>0.9015544041450777</v>
      </c>
      <c r="F68" s="149">
        <f>$I$3</f>
        <v>9.8445595854922283E-2</v>
      </c>
      <c r="G68" s="149"/>
      <c r="H68" s="149"/>
      <c r="I68" s="149"/>
      <c r="K68" s="153">
        <f>B68*E68</f>
        <v>90.516062176165804</v>
      </c>
      <c r="L68" s="153">
        <f t="shared" ref="L68" si="75">B68*F68</f>
        <v>9.8839378238341986</v>
      </c>
      <c r="M68" s="153">
        <f t="shared" ref="M68" si="76">B68*G68</f>
        <v>0</v>
      </c>
      <c r="N68" s="153">
        <f t="shared" ref="N68" si="77">B68*H68</f>
        <v>0</v>
      </c>
      <c r="O68" s="153">
        <f t="shared" ref="O68" si="78">B68*I68</f>
        <v>0</v>
      </c>
      <c r="Q68" s="157"/>
      <c r="T68" s="170"/>
      <c r="U68" s="171"/>
    </row>
    <row r="69" spans="1:21" x14ac:dyDescent="0.2">
      <c r="A69" s="177" t="s">
        <v>196</v>
      </c>
      <c r="B69" s="178">
        <f>80000</f>
        <v>80000</v>
      </c>
      <c r="C69" s="151" t="s">
        <v>308</v>
      </c>
      <c r="E69" s="149">
        <f>$H$3</f>
        <v>0.9015544041450777</v>
      </c>
      <c r="F69" s="149">
        <f>$I$3</f>
        <v>9.8445595854922283E-2</v>
      </c>
      <c r="G69" s="149"/>
      <c r="H69" s="149"/>
      <c r="I69" s="149"/>
      <c r="K69" s="153">
        <f>B69*E69</f>
        <v>72124.35233160622</v>
      </c>
      <c r="L69" s="153">
        <f t="shared" ref="L69" si="79">B69*F69</f>
        <v>7875.6476683937826</v>
      </c>
      <c r="M69" s="153">
        <f t="shared" ref="M69" si="80">B69*G69</f>
        <v>0</v>
      </c>
      <c r="N69" s="153">
        <f t="shared" ref="N69" si="81">B69*H69</f>
        <v>0</v>
      </c>
      <c r="O69" s="153">
        <f t="shared" ref="O69" si="82">B69*I69</f>
        <v>0</v>
      </c>
      <c r="Q69" s="157">
        <f t="shared" si="6"/>
        <v>0</v>
      </c>
      <c r="S69" s="168" t="b">
        <f t="shared" si="4"/>
        <v>1</v>
      </c>
      <c r="T69" s="170" t="s">
        <v>196</v>
      </c>
      <c r="U69" s="172">
        <f>80000</f>
        <v>80000</v>
      </c>
    </row>
    <row r="70" spans="1:21" x14ac:dyDescent="0.2">
      <c r="A70" s="177" t="s">
        <v>197</v>
      </c>
      <c r="B70" s="179">
        <f>((B67)+(B68))+(B69)</f>
        <v>80100.399999999994</v>
      </c>
      <c r="E70" s="150" t="s">
        <v>305</v>
      </c>
      <c r="F70" s="150" t="s">
        <v>305</v>
      </c>
      <c r="G70" s="150" t="s">
        <v>305</v>
      </c>
      <c r="H70" s="150" t="s">
        <v>305</v>
      </c>
      <c r="I70" s="150" t="s">
        <v>305</v>
      </c>
      <c r="K70" s="150" t="s">
        <v>305</v>
      </c>
      <c r="L70" s="150" t="s">
        <v>305</v>
      </c>
      <c r="M70" s="150" t="s">
        <v>305</v>
      </c>
      <c r="N70" s="150" t="s">
        <v>305</v>
      </c>
      <c r="O70" s="150" t="s">
        <v>305</v>
      </c>
      <c r="Q70" s="157">
        <f t="shared" si="6"/>
        <v>-80100.399999999994</v>
      </c>
      <c r="S70" s="168" t="b">
        <f t="shared" si="4"/>
        <v>1</v>
      </c>
      <c r="T70" s="170" t="s">
        <v>197</v>
      </c>
      <c r="U70" s="173">
        <f>(U67)+(U69)</f>
        <v>80000</v>
      </c>
    </row>
    <row r="71" spans="1:21" x14ac:dyDescent="0.2">
      <c r="A71" s="155" t="s">
        <v>306</v>
      </c>
      <c r="B71" s="156">
        <f>B70+B66+B54</f>
        <v>4234232.62</v>
      </c>
      <c r="C71" s="151"/>
      <c r="D71" s="146"/>
      <c r="E71" s="146"/>
      <c r="F71" s="146"/>
      <c r="G71" s="146"/>
      <c r="H71" s="146"/>
      <c r="I71" s="146"/>
      <c r="J71" s="146"/>
      <c r="K71" s="156">
        <f>SUM(K32:K70)</f>
        <v>3379077.0842124354</v>
      </c>
      <c r="L71" s="156">
        <f>SUM(L32:L70)</f>
        <v>393029.00878756482</v>
      </c>
      <c r="M71" s="156">
        <f>SUM(M32:M70)</f>
        <v>0</v>
      </c>
      <c r="N71" s="156">
        <f>SUM(N32:N70)</f>
        <v>8769.2219999999998</v>
      </c>
      <c r="O71" s="156">
        <f>SUM(O32:O70)</f>
        <v>453357.30499999999</v>
      </c>
      <c r="P71" s="146"/>
      <c r="Q71" s="157">
        <f t="shared" si="6"/>
        <v>0</v>
      </c>
      <c r="S71" s="168" t="b">
        <f t="shared" si="4"/>
        <v>0</v>
      </c>
      <c r="T71" s="170"/>
      <c r="U71" s="171"/>
    </row>
    <row r="72" spans="1:21" x14ac:dyDescent="0.2">
      <c r="A72" s="136" t="s">
        <v>198</v>
      </c>
      <c r="B72" s="137"/>
      <c r="Q72" s="157">
        <f t="shared" si="6"/>
        <v>0</v>
      </c>
      <c r="S72" s="168" t="b">
        <f t="shared" si="4"/>
        <v>1</v>
      </c>
      <c r="T72" s="170" t="s">
        <v>198</v>
      </c>
      <c r="U72" s="171"/>
    </row>
    <row r="73" spans="1:21" x14ac:dyDescent="0.2">
      <c r="A73" s="170" t="s">
        <v>199</v>
      </c>
      <c r="B73" s="172">
        <f>31864</f>
        <v>31864</v>
      </c>
      <c r="C73" s="151" t="s">
        <v>59</v>
      </c>
      <c r="E73" s="152">
        <f>$K$3</f>
        <v>0.79803765817014449</v>
      </c>
      <c r="F73" s="152">
        <f>$L$3</f>
        <v>9.2821780015374972E-2</v>
      </c>
      <c r="G73" s="152">
        <f>$M$3</f>
        <v>0</v>
      </c>
      <c r="H73" s="152">
        <f>$N$3</f>
        <v>2.0710298150789833E-3</v>
      </c>
      <c r="I73" s="152">
        <f>$O$3</f>
        <v>0.10706953199940157</v>
      </c>
      <c r="K73" s="153">
        <f>B73*E73</f>
        <v>25428.671939933483</v>
      </c>
      <c r="L73" s="153">
        <f t="shared" ref="L73" si="83">B73*F73</f>
        <v>2957.6731984099083</v>
      </c>
      <c r="M73" s="153">
        <f t="shared" ref="M73" si="84">B73*G73</f>
        <v>0</v>
      </c>
      <c r="N73" s="153">
        <f t="shared" ref="N73" si="85">B73*H73</f>
        <v>65.99129402767673</v>
      </c>
      <c r="O73" s="153">
        <f t="shared" ref="O73" si="86">B73*I73</f>
        <v>3411.6635676289316</v>
      </c>
      <c r="Q73" s="157">
        <f t="shared" si="6"/>
        <v>0</v>
      </c>
      <c r="S73" s="168" t="b">
        <f t="shared" si="4"/>
        <v>1</v>
      </c>
      <c r="T73" s="170" t="s">
        <v>199</v>
      </c>
      <c r="U73" s="172">
        <f>31864</f>
        <v>31864</v>
      </c>
    </row>
    <row r="74" spans="1:21" x14ac:dyDescent="0.2">
      <c r="A74" s="170" t="s">
        <v>200</v>
      </c>
      <c r="B74" s="172">
        <f>262522.42</f>
        <v>262522.42</v>
      </c>
      <c r="C74" s="151" t="s">
        <v>59</v>
      </c>
      <c r="E74" s="152">
        <f t="shared" ref="E74:E84" si="87">$K$3</f>
        <v>0.79803765817014449</v>
      </c>
      <c r="F74" s="152">
        <f t="shared" ref="F74:F84" si="88">$L$3</f>
        <v>9.2821780015374972E-2</v>
      </c>
      <c r="G74" s="152">
        <f t="shared" ref="G74:G84" si="89">$M$3</f>
        <v>0</v>
      </c>
      <c r="H74" s="152">
        <f t="shared" ref="H74:H84" si="90">$N$3</f>
        <v>2.0710298150789833E-3</v>
      </c>
      <c r="I74" s="152">
        <f t="shared" ref="I74:I84" si="91">$O$3</f>
        <v>0.10706953199940157</v>
      </c>
      <c r="K74" s="153">
        <f t="shared" ref="K74:K83" si="92">B74*E74</f>
        <v>209502.7772739591</v>
      </c>
      <c r="L74" s="153">
        <f t="shared" ref="L74:L83" si="93">B74*F74</f>
        <v>24367.798318343874</v>
      </c>
      <c r="M74" s="153">
        <f t="shared" ref="M74:M83" si="94">B74*G74</f>
        <v>0</v>
      </c>
      <c r="N74" s="153">
        <f t="shared" ref="N74:N83" si="95">B74*H74</f>
        <v>543.69175894668717</v>
      </c>
      <c r="O74" s="153">
        <f t="shared" ref="O74:O83" si="96">B74*I74</f>
        <v>28108.152648750336</v>
      </c>
      <c r="Q74" s="157">
        <f t="shared" si="6"/>
        <v>0</v>
      </c>
      <c r="S74" s="168" t="b">
        <f t="shared" ref="S74:S137" si="97">T74=A74</f>
        <v>1</v>
      </c>
      <c r="T74" s="170" t="s">
        <v>200</v>
      </c>
      <c r="U74" s="172">
        <f>262522.42</f>
        <v>262522.42</v>
      </c>
    </row>
    <row r="75" spans="1:21" x14ac:dyDescent="0.2">
      <c r="A75" s="170" t="s">
        <v>201</v>
      </c>
      <c r="B75" s="172">
        <f>61396.37</f>
        <v>61396.37</v>
      </c>
      <c r="C75" s="151" t="s">
        <v>59</v>
      </c>
      <c r="E75" s="152">
        <f t="shared" si="87"/>
        <v>0.79803765817014449</v>
      </c>
      <c r="F75" s="152">
        <f t="shared" si="88"/>
        <v>9.2821780015374972E-2</v>
      </c>
      <c r="G75" s="152">
        <f t="shared" si="89"/>
        <v>0</v>
      </c>
      <c r="H75" s="152">
        <f t="shared" si="90"/>
        <v>2.0710298150789833E-3</v>
      </c>
      <c r="I75" s="152">
        <f t="shared" si="91"/>
        <v>0.10706953199940157</v>
      </c>
      <c r="K75" s="153">
        <f t="shared" si="92"/>
        <v>48996.615334947717</v>
      </c>
      <c r="L75" s="153">
        <f t="shared" si="93"/>
        <v>5698.9203498825673</v>
      </c>
      <c r="M75" s="153">
        <f t="shared" si="94"/>
        <v>0</v>
      </c>
      <c r="N75" s="153">
        <f t="shared" si="95"/>
        <v>127.15371280762085</v>
      </c>
      <c r="O75" s="153">
        <f t="shared" si="96"/>
        <v>6573.6806023620993</v>
      </c>
      <c r="Q75" s="157">
        <f t="shared" si="6"/>
        <v>0</v>
      </c>
      <c r="S75" s="168" t="b">
        <f t="shared" si="97"/>
        <v>1</v>
      </c>
      <c r="T75" s="170" t="s">
        <v>201</v>
      </c>
      <c r="U75" s="172">
        <f>61396.37</f>
        <v>61396.37</v>
      </c>
    </row>
    <row r="76" spans="1:21" x14ac:dyDescent="0.2">
      <c r="A76" s="170" t="s">
        <v>202</v>
      </c>
      <c r="B76" s="172">
        <f>1500</f>
        <v>1500</v>
      </c>
      <c r="C76" s="151" t="s">
        <v>60</v>
      </c>
      <c r="E76" s="152">
        <f t="shared" si="87"/>
        <v>0.79803765817014449</v>
      </c>
      <c r="F76" s="152">
        <f t="shared" si="88"/>
        <v>9.2821780015374972E-2</v>
      </c>
      <c r="G76" s="152">
        <f t="shared" si="89"/>
        <v>0</v>
      </c>
      <c r="H76" s="152">
        <f t="shared" si="90"/>
        <v>2.0710298150789833E-3</v>
      </c>
      <c r="I76" s="152">
        <f t="shared" si="91"/>
        <v>0.10706953199940157</v>
      </c>
      <c r="K76" s="153">
        <f t="shared" si="92"/>
        <v>1197.0564872552168</v>
      </c>
      <c r="L76" s="153">
        <f t="shared" si="93"/>
        <v>139.23267002306247</v>
      </c>
      <c r="M76" s="153">
        <f t="shared" si="94"/>
        <v>0</v>
      </c>
      <c r="N76" s="153">
        <f t="shared" si="95"/>
        <v>3.1065447226184748</v>
      </c>
      <c r="O76" s="153">
        <f t="shared" si="96"/>
        <v>160.60429799910236</v>
      </c>
      <c r="Q76" s="157">
        <f t="shared" si="6"/>
        <v>0</v>
      </c>
      <c r="S76" s="168" t="b">
        <f t="shared" si="97"/>
        <v>1</v>
      </c>
      <c r="T76" s="170" t="s">
        <v>202</v>
      </c>
      <c r="U76" s="172">
        <f>1500</f>
        <v>1500</v>
      </c>
    </row>
    <row r="77" spans="1:21" x14ac:dyDescent="0.2">
      <c r="A77" s="170" t="s">
        <v>203</v>
      </c>
      <c r="B77" s="172">
        <f>35400</f>
        <v>35400</v>
      </c>
      <c r="C77" s="151" t="s">
        <v>60</v>
      </c>
      <c r="E77" s="152">
        <f t="shared" si="87"/>
        <v>0.79803765817014449</v>
      </c>
      <c r="F77" s="152">
        <f t="shared" si="88"/>
        <v>9.2821780015374972E-2</v>
      </c>
      <c r="G77" s="152">
        <f t="shared" si="89"/>
        <v>0</v>
      </c>
      <c r="H77" s="152">
        <f t="shared" si="90"/>
        <v>2.0710298150789833E-3</v>
      </c>
      <c r="I77" s="152">
        <f t="shared" si="91"/>
        <v>0.10706953199940157</v>
      </c>
      <c r="K77" s="153">
        <f t="shared" si="92"/>
        <v>28250.533099223114</v>
      </c>
      <c r="L77" s="153">
        <f t="shared" si="93"/>
        <v>3285.891012544274</v>
      </c>
      <c r="M77" s="153">
        <f t="shared" si="94"/>
        <v>0</v>
      </c>
      <c r="N77" s="153">
        <f t="shared" si="95"/>
        <v>73.314455453796015</v>
      </c>
      <c r="O77" s="153">
        <f t="shared" si="96"/>
        <v>3790.2614327788156</v>
      </c>
      <c r="Q77" s="157">
        <f t="shared" si="6"/>
        <v>0</v>
      </c>
      <c r="S77" s="168" t="b">
        <f t="shared" si="97"/>
        <v>1</v>
      </c>
      <c r="T77" s="170" t="s">
        <v>203</v>
      </c>
      <c r="U77" s="172">
        <f>35400</f>
        <v>35400</v>
      </c>
    </row>
    <row r="78" spans="1:21" x14ac:dyDescent="0.2">
      <c r="A78" s="170" t="s">
        <v>204</v>
      </c>
      <c r="B78" s="172">
        <f>1200</f>
        <v>1200</v>
      </c>
      <c r="C78" s="151" t="s">
        <v>60</v>
      </c>
      <c r="E78" s="152">
        <f t="shared" si="87"/>
        <v>0.79803765817014449</v>
      </c>
      <c r="F78" s="152">
        <f t="shared" si="88"/>
        <v>9.2821780015374972E-2</v>
      </c>
      <c r="G78" s="152">
        <f t="shared" si="89"/>
        <v>0</v>
      </c>
      <c r="H78" s="152">
        <f t="shared" si="90"/>
        <v>2.0710298150789833E-3</v>
      </c>
      <c r="I78" s="152">
        <f t="shared" si="91"/>
        <v>0.10706953199940157</v>
      </c>
      <c r="K78" s="153">
        <f t="shared" si="92"/>
        <v>957.64518980417336</v>
      </c>
      <c r="L78" s="153">
        <f t="shared" si="93"/>
        <v>111.38613601844996</v>
      </c>
      <c r="M78" s="153">
        <f t="shared" si="94"/>
        <v>0</v>
      </c>
      <c r="N78" s="153">
        <f t="shared" si="95"/>
        <v>2.48523577809478</v>
      </c>
      <c r="O78" s="153">
        <f t="shared" si="96"/>
        <v>128.48343839928188</v>
      </c>
      <c r="Q78" s="157">
        <f t="shared" ref="Q78:Q143" si="98">SUM(K78:P78)-B78</f>
        <v>0</v>
      </c>
      <c r="S78" s="168" t="b">
        <f t="shared" si="97"/>
        <v>1</v>
      </c>
      <c r="T78" s="170" t="s">
        <v>204</v>
      </c>
      <c r="U78" s="172">
        <f>1200</f>
        <v>1200</v>
      </c>
    </row>
    <row r="79" spans="1:21" x14ac:dyDescent="0.2">
      <c r="A79" s="170" t="s">
        <v>205</v>
      </c>
      <c r="B79" s="172">
        <f>425000</f>
        <v>425000</v>
      </c>
      <c r="C79" s="151" t="s">
        <v>60</v>
      </c>
      <c r="E79" s="152">
        <f t="shared" si="87"/>
        <v>0.79803765817014449</v>
      </c>
      <c r="F79" s="152">
        <f t="shared" si="88"/>
        <v>9.2821780015374972E-2</v>
      </c>
      <c r="G79" s="152">
        <f t="shared" si="89"/>
        <v>0</v>
      </c>
      <c r="H79" s="152">
        <f t="shared" si="90"/>
        <v>2.0710298150789833E-3</v>
      </c>
      <c r="I79" s="152">
        <f t="shared" si="91"/>
        <v>0.10706953199940157</v>
      </c>
      <c r="K79" s="153">
        <f t="shared" si="92"/>
        <v>339166.00472231139</v>
      </c>
      <c r="L79" s="153">
        <f t="shared" si="93"/>
        <v>39449.256506534366</v>
      </c>
      <c r="M79" s="153">
        <f t="shared" si="94"/>
        <v>0</v>
      </c>
      <c r="N79" s="153">
        <f t="shared" si="95"/>
        <v>880.18767140856789</v>
      </c>
      <c r="O79" s="153">
        <f t="shared" si="96"/>
        <v>45504.551099745666</v>
      </c>
      <c r="Q79" s="157">
        <f t="shared" si="98"/>
        <v>0</v>
      </c>
      <c r="S79" s="168" t="b">
        <f t="shared" si="97"/>
        <v>1</v>
      </c>
      <c r="T79" s="170" t="s">
        <v>205</v>
      </c>
      <c r="U79" s="172">
        <f>425000</f>
        <v>425000</v>
      </c>
    </row>
    <row r="80" spans="1:21" x14ac:dyDescent="0.2">
      <c r="A80" s="170" t="s">
        <v>206</v>
      </c>
      <c r="B80" s="172">
        <f>35000</f>
        <v>35000</v>
      </c>
      <c r="C80" s="151" t="s">
        <v>60</v>
      </c>
      <c r="E80" s="152">
        <f t="shared" si="87"/>
        <v>0.79803765817014449</v>
      </c>
      <c r="F80" s="152">
        <f t="shared" si="88"/>
        <v>9.2821780015374972E-2</v>
      </c>
      <c r="G80" s="152">
        <f t="shared" si="89"/>
        <v>0</v>
      </c>
      <c r="H80" s="152">
        <f t="shared" si="90"/>
        <v>2.0710298150789833E-3</v>
      </c>
      <c r="I80" s="152">
        <f t="shared" si="91"/>
        <v>0.10706953199940157</v>
      </c>
      <c r="K80" s="153">
        <f t="shared" si="92"/>
        <v>27931.318035955057</v>
      </c>
      <c r="L80" s="153">
        <f t="shared" si="93"/>
        <v>3248.7623005381242</v>
      </c>
      <c r="M80" s="153">
        <f t="shared" si="94"/>
        <v>0</v>
      </c>
      <c r="N80" s="153">
        <f t="shared" si="95"/>
        <v>72.486043527764423</v>
      </c>
      <c r="O80" s="153">
        <f t="shared" si="96"/>
        <v>3747.433619979055</v>
      </c>
      <c r="Q80" s="157">
        <f t="shared" si="98"/>
        <v>0</v>
      </c>
      <c r="S80" s="168" t="b">
        <f t="shared" si="97"/>
        <v>1</v>
      </c>
      <c r="T80" s="170" t="s">
        <v>206</v>
      </c>
      <c r="U80" s="172">
        <f>35000</f>
        <v>35000</v>
      </c>
    </row>
    <row r="81" spans="1:21" x14ac:dyDescent="0.2">
      <c r="A81" s="170" t="s">
        <v>207</v>
      </c>
      <c r="B81" s="172">
        <f>20000</f>
        <v>20000</v>
      </c>
      <c r="C81" s="151" t="s">
        <v>60</v>
      </c>
      <c r="E81" s="152">
        <f t="shared" si="87"/>
        <v>0.79803765817014449</v>
      </c>
      <c r="F81" s="152">
        <f t="shared" si="88"/>
        <v>9.2821780015374972E-2</v>
      </c>
      <c r="G81" s="152">
        <f t="shared" si="89"/>
        <v>0</v>
      </c>
      <c r="H81" s="152">
        <f t="shared" si="90"/>
        <v>2.0710298150789833E-3</v>
      </c>
      <c r="I81" s="152">
        <f t="shared" si="91"/>
        <v>0.10706953199940157</v>
      </c>
      <c r="K81" s="153">
        <f t="shared" si="92"/>
        <v>15960.753163402889</v>
      </c>
      <c r="L81" s="153">
        <f t="shared" si="93"/>
        <v>1856.4356003074995</v>
      </c>
      <c r="M81" s="153">
        <f t="shared" si="94"/>
        <v>0</v>
      </c>
      <c r="N81" s="153">
        <f t="shared" si="95"/>
        <v>41.420596301579664</v>
      </c>
      <c r="O81" s="153">
        <f t="shared" si="96"/>
        <v>2141.3906399880316</v>
      </c>
      <c r="Q81" s="157">
        <f t="shared" si="98"/>
        <v>0</v>
      </c>
      <c r="S81" s="168" t="b">
        <f t="shared" si="97"/>
        <v>1</v>
      </c>
      <c r="T81" s="170" t="s">
        <v>207</v>
      </c>
      <c r="U81" s="172">
        <f>20000</f>
        <v>20000</v>
      </c>
    </row>
    <row r="82" spans="1:21" x14ac:dyDescent="0.2">
      <c r="A82" s="170" t="s">
        <v>208</v>
      </c>
      <c r="B82" s="172">
        <f>21171.16</f>
        <v>21171.16</v>
      </c>
      <c r="C82" s="151" t="s">
        <v>60</v>
      </c>
      <c r="E82" s="152">
        <f t="shared" si="87"/>
        <v>0.79803765817014449</v>
      </c>
      <c r="F82" s="152">
        <f t="shared" si="88"/>
        <v>9.2821780015374972E-2</v>
      </c>
      <c r="G82" s="152">
        <f t="shared" si="89"/>
        <v>0</v>
      </c>
      <c r="H82" s="152">
        <f t="shared" si="90"/>
        <v>2.0710298150789833E-3</v>
      </c>
      <c r="I82" s="152">
        <f t="shared" si="91"/>
        <v>0.10706953199940157</v>
      </c>
      <c r="K82" s="153">
        <f t="shared" si="92"/>
        <v>16895.382947145437</v>
      </c>
      <c r="L82" s="153">
        <f t="shared" si="93"/>
        <v>1965.144756190306</v>
      </c>
      <c r="M82" s="153">
        <f t="shared" si="94"/>
        <v>0</v>
      </c>
      <c r="N82" s="153">
        <f t="shared" si="95"/>
        <v>43.846103579807568</v>
      </c>
      <c r="O82" s="153">
        <f t="shared" si="96"/>
        <v>2266.7861930844506</v>
      </c>
      <c r="Q82" s="157">
        <f t="shared" si="98"/>
        <v>0</v>
      </c>
      <c r="S82" s="168" t="b">
        <f t="shared" si="97"/>
        <v>1</v>
      </c>
      <c r="T82" s="170" t="s">
        <v>208</v>
      </c>
      <c r="U82" s="172">
        <f>21171.16</f>
        <v>21171.16</v>
      </c>
    </row>
    <row r="83" spans="1:21" x14ac:dyDescent="0.2">
      <c r="A83" s="170" t="s">
        <v>209</v>
      </c>
      <c r="B83" s="172">
        <f>15625</f>
        <v>15625</v>
      </c>
      <c r="C83" s="151" t="s">
        <v>60</v>
      </c>
      <c r="E83" s="152">
        <f t="shared" si="87"/>
        <v>0.79803765817014449</v>
      </c>
      <c r="F83" s="152">
        <f t="shared" si="88"/>
        <v>9.2821780015374972E-2</v>
      </c>
      <c r="G83" s="152">
        <f t="shared" si="89"/>
        <v>0</v>
      </c>
      <c r="H83" s="152">
        <f t="shared" si="90"/>
        <v>2.0710298150789833E-3</v>
      </c>
      <c r="I83" s="152">
        <f t="shared" si="91"/>
        <v>0.10706953199940157</v>
      </c>
      <c r="K83" s="153">
        <f t="shared" si="92"/>
        <v>12469.338408908508</v>
      </c>
      <c r="L83" s="153">
        <f t="shared" si="93"/>
        <v>1450.3403127402339</v>
      </c>
      <c r="M83" s="153">
        <f t="shared" si="94"/>
        <v>0</v>
      </c>
      <c r="N83" s="153">
        <f t="shared" si="95"/>
        <v>32.359840860609111</v>
      </c>
      <c r="O83" s="153">
        <f t="shared" si="96"/>
        <v>1672.9614374906496</v>
      </c>
      <c r="Q83" s="157">
        <f t="shared" si="98"/>
        <v>0</v>
      </c>
      <c r="S83" s="168" t="b">
        <f t="shared" si="97"/>
        <v>1</v>
      </c>
      <c r="T83" s="170" t="s">
        <v>209</v>
      </c>
      <c r="U83" s="172">
        <f>15625</f>
        <v>15625</v>
      </c>
    </row>
    <row r="84" spans="1:21" x14ac:dyDescent="0.2">
      <c r="A84" s="170" t="s">
        <v>328</v>
      </c>
      <c r="B84" s="172">
        <f>83084.65</f>
        <v>83084.649999999994</v>
      </c>
      <c r="C84" s="151" t="s">
        <v>60</v>
      </c>
      <c r="D84" s="168"/>
      <c r="E84" s="152">
        <f t="shared" si="87"/>
        <v>0.79803765817014449</v>
      </c>
      <c r="F84" s="152">
        <f t="shared" si="88"/>
        <v>9.2821780015374972E-2</v>
      </c>
      <c r="G84" s="152">
        <f t="shared" si="89"/>
        <v>0</v>
      </c>
      <c r="H84" s="152">
        <f t="shared" si="90"/>
        <v>2.0710298150789833E-3</v>
      </c>
      <c r="I84" s="152">
        <f t="shared" si="91"/>
        <v>0.10706953199940157</v>
      </c>
      <c r="J84" s="168"/>
      <c r="K84" s="153">
        <f t="shared" ref="K84" si="99">B84*E84</f>
        <v>66304.679515886091</v>
      </c>
      <c r="L84" s="153">
        <f t="shared" ref="L84" si="100">B84*F84</f>
        <v>7712.065104954424</v>
      </c>
      <c r="M84" s="153">
        <f t="shared" ref="M84" si="101">B84*G84</f>
        <v>0</v>
      </c>
      <c r="N84" s="153">
        <f t="shared" ref="N84" si="102">B84*H84</f>
        <v>172.07078732540205</v>
      </c>
      <c r="O84" s="153">
        <f t="shared" ref="O84" si="103">B84*I84</f>
        <v>8895.8345918340783</v>
      </c>
      <c r="P84" s="168"/>
      <c r="Q84" s="157">
        <f t="shared" ref="Q84" si="104">SUM(K84:P84)-B84</f>
        <v>0</v>
      </c>
      <c r="S84" s="168" t="b">
        <f t="shared" si="97"/>
        <v>1</v>
      </c>
      <c r="T84" s="170" t="s">
        <v>328</v>
      </c>
      <c r="U84" s="172">
        <f>83084.65</f>
        <v>83084.649999999994</v>
      </c>
    </row>
    <row r="85" spans="1:21" x14ac:dyDescent="0.2">
      <c r="A85" s="170" t="s">
        <v>210</v>
      </c>
      <c r="B85" s="173">
        <f>((((((((((((B71)+(B73))+(B74))+(B75))+(B76))+(B77))+(B78))+(B79))+(B80))+(B81))+(B82))+(B83))+(B84)</f>
        <v>5227996.2200000007</v>
      </c>
      <c r="E85" s="150" t="s">
        <v>305</v>
      </c>
      <c r="F85" s="150" t="s">
        <v>305</v>
      </c>
      <c r="G85" s="150" t="s">
        <v>305</v>
      </c>
      <c r="H85" s="150" t="s">
        <v>305</v>
      </c>
      <c r="I85" s="150" t="s">
        <v>305</v>
      </c>
      <c r="K85" s="150" t="s">
        <v>305</v>
      </c>
      <c r="L85" s="150" t="s">
        <v>305</v>
      </c>
      <c r="M85" s="150" t="s">
        <v>305</v>
      </c>
      <c r="N85" s="150" t="s">
        <v>305</v>
      </c>
      <c r="O85" s="150" t="s">
        <v>305</v>
      </c>
      <c r="Q85" s="157">
        <f t="shared" si="98"/>
        <v>-5227996.2200000007</v>
      </c>
      <c r="S85" s="168" t="b">
        <f t="shared" si="97"/>
        <v>1</v>
      </c>
      <c r="T85" s="170" t="s">
        <v>210</v>
      </c>
      <c r="U85" s="173">
        <f>((((((((((((U71)+(U73))+(U74))+(U75))+(U76))+(U77))+(U78))+(U79))+(U80))+(U81))+(U82))+(U83))+(U84)</f>
        <v>993763.60000000009</v>
      </c>
    </row>
    <row r="86" spans="1:21" x14ac:dyDescent="0.2">
      <c r="A86" s="170" t="s">
        <v>211</v>
      </c>
      <c r="B86" s="171"/>
      <c r="Q86" s="157">
        <f t="shared" si="98"/>
        <v>0</v>
      </c>
      <c r="S86" s="168" t="b">
        <f t="shared" si="97"/>
        <v>1</v>
      </c>
      <c r="T86" s="170" t="s">
        <v>211</v>
      </c>
      <c r="U86" s="171"/>
    </row>
    <row r="87" spans="1:21" x14ac:dyDescent="0.2">
      <c r="A87" s="170" t="s">
        <v>212</v>
      </c>
      <c r="B87" s="172">
        <f>30000</f>
        <v>30000</v>
      </c>
      <c r="C87" s="151" t="s">
        <v>87</v>
      </c>
      <c r="E87" s="152">
        <f t="shared" ref="E87:E99" si="105">$K$3</f>
        <v>0.79803765817014449</v>
      </c>
      <c r="F87" s="152">
        <f t="shared" ref="F87:F99" si="106">$L$3</f>
        <v>9.2821780015374972E-2</v>
      </c>
      <c r="G87" s="152">
        <f t="shared" ref="G87:G99" si="107">$M$3</f>
        <v>0</v>
      </c>
      <c r="H87" s="152">
        <f t="shared" ref="H87:H99" si="108">$N$3</f>
        <v>2.0710298150789833E-3</v>
      </c>
      <c r="I87" s="152">
        <f t="shared" ref="I87:I99" si="109">$O$3</f>
        <v>0.10706953199940157</v>
      </c>
      <c r="K87" s="153">
        <f t="shared" ref="K87" si="110">B87*E87</f>
        <v>23941.129745104336</v>
      </c>
      <c r="L87" s="153">
        <f t="shared" ref="L87" si="111">B87*F87</f>
        <v>2784.653400461249</v>
      </c>
      <c r="M87" s="153">
        <f t="shared" ref="M87" si="112">B87*G87</f>
        <v>0</v>
      </c>
      <c r="N87" s="153">
        <f t="shared" ref="N87" si="113">B87*H87</f>
        <v>62.130894452369496</v>
      </c>
      <c r="O87" s="153">
        <f t="shared" ref="O87" si="114">B87*I87</f>
        <v>3212.0859599820469</v>
      </c>
      <c r="Q87" s="157">
        <f t="shared" si="98"/>
        <v>0</v>
      </c>
      <c r="S87" s="168" t="b">
        <f t="shared" si="97"/>
        <v>1</v>
      </c>
      <c r="T87" s="170" t="s">
        <v>212</v>
      </c>
      <c r="U87" s="172">
        <f>30000</f>
        <v>30000</v>
      </c>
    </row>
    <row r="88" spans="1:21" x14ac:dyDescent="0.2">
      <c r="A88" s="170" t="s">
        <v>213</v>
      </c>
      <c r="B88" s="172">
        <f>10000</f>
        <v>10000</v>
      </c>
      <c r="C88" s="151" t="s">
        <v>311</v>
      </c>
      <c r="E88" s="152">
        <f t="shared" si="105"/>
        <v>0.79803765817014449</v>
      </c>
      <c r="F88" s="152">
        <f t="shared" si="106"/>
        <v>9.2821780015374972E-2</v>
      </c>
      <c r="G88" s="152">
        <f t="shared" si="107"/>
        <v>0</v>
      </c>
      <c r="H88" s="152">
        <f t="shared" si="108"/>
        <v>2.0710298150789833E-3</v>
      </c>
      <c r="I88" s="152">
        <f t="shared" si="109"/>
        <v>0.10706953199940157</v>
      </c>
      <c r="K88" s="153">
        <f t="shared" ref="K88:K99" si="115">B88*E88</f>
        <v>7980.3765817014446</v>
      </c>
      <c r="L88" s="153">
        <f t="shared" ref="L88:L99" si="116">B88*F88</f>
        <v>928.21780015374975</v>
      </c>
      <c r="M88" s="153">
        <f t="shared" ref="M88:M99" si="117">B88*G88</f>
        <v>0</v>
      </c>
      <c r="N88" s="153">
        <f t="shared" ref="N88:N99" si="118">B88*H88</f>
        <v>20.710298150789832</v>
      </c>
      <c r="O88" s="153">
        <f t="shared" ref="O88:O99" si="119">B88*I88</f>
        <v>1070.6953199940158</v>
      </c>
      <c r="Q88" s="157">
        <f t="shared" si="98"/>
        <v>0</v>
      </c>
      <c r="S88" s="168" t="b">
        <f t="shared" si="97"/>
        <v>1</v>
      </c>
      <c r="T88" s="170" t="s">
        <v>213</v>
      </c>
      <c r="U88" s="172">
        <f>10000</f>
        <v>10000</v>
      </c>
    </row>
    <row r="89" spans="1:21" x14ac:dyDescent="0.2">
      <c r="A89" s="170" t="s">
        <v>214</v>
      </c>
      <c r="B89" s="172">
        <f>7000</f>
        <v>7000</v>
      </c>
      <c r="C89" s="151" t="s">
        <v>311</v>
      </c>
      <c r="E89" s="152">
        <f t="shared" si="105"/>
        <v>0.79803765817014449</v>
      </c>
      <c r="F89" s="152">
        <f t="shared" si="106"/>
        <v>9.2821780015374972E-2</v>
      </c>
      <c r="G89" s="152">
        <f t="shared" si="107"/>
        <v>0</v>
      </c>
      <c r="H89" s="152">
        <f t="shared" si="108"/>
        <v>2.0710298150789833E-3</v>
      </c>
      <c r="I89" s="152">
        <f t="shared" si="109"/>
        <v>0.10706953199940157</v>
      </c>
      <c r="K89" s="153">
        <f t="shared" si="115"/>
        <v>5586.263607191011</v>
      </c>
      <c r="L89" s="153">
        <f t="shared" si="116"/>
        <v>649.75246010762476</v>
      </c>
      <c r="M89" s="153">
        <f t="shared" si="117"/>
        <v>0</v>
      </c>
      <c r="N89" s="153">
        <f t="shared" si="118"/>
        <v>14.497208705552882</v>
      </c>
      <c r="O89" s="153">
        <f t="shared" si="119"/>
        <v>749.48672399581096</v>
      </c>
      <c r="Q89" s="157">
        <f t="shared" si="98"/>
        <v>0</v>
      </c>
      <c r="S89" s="168" t="b">
        <f t="shared" si="97"/>
        <v>1</v>
      </c>
      <c r="T89" s="170" t="s">
        <v>214</v>
      </c>
      <c r="U89" s="172">
        <f>7000</f>
        <v>7000</v>
      </c>
    </row>
    <row r="90" spans="1:21" x14ac:dyDescent="0.2">
      <c r="A90" s="170" t="s">
        <v>215</v>
      </c>
      <c r="B90" s="172">
        <f>6000</f>
        <v>6000</v>
      </c>
      <c r="C90" s="151" t="s">
        <v>87</v>
      </c>
      <c r="E90" s="152">
        <f t="shared" si="105"/>
        <v>0.79803765817014449</v>
      </c>
      <c r="F90" s="152">
        <f t="shared" si="106"/>
        <v>9.2821780015374972E-2</v>
      </c>
      <c r="G90" s="152">
        <f t="shared" si="107"/>
        <v>0</v>
      </c>
      <c r="H90" s="152">
        <f t="shared" si="108"/>
        <v>2.0710298150789833E-3</v>
      </c>
      <c r="I90" s="152">
        <f t="shared" si="109"/>
        <v>0.10706953199940157</v>
      </c>
      <c r="K90" s="153">
        <f t="shared" si="115"/>
        <v>4788.2259490208671</v>
      </c>
      <c r="L90" s="153">
        <f t="shared" si="116"/>
        <v>556.93068009224987</v>
      </c>
      <c r="M90" s="153">
        <f t="shared" si="117"/>
        <v>0</v>
      </c>
      <c r="N90" s="153">
        <f t="shared" si="118"/>
        <v>12.426178890473899</v>
      </c>
      <c r="O90" s="153">
        <f t="shared" si="119"/>
        <v>642.41719199640943</v>
      </c>
      <c r="Q90" s="157">
        <f t="shared" si="98"/>
        <v>0</v>
      </c>
      <c r="S90" s="168" t="b">
        <f t="shared" si="97"/>
        <v>1</v>
      </c>
      <c r="T90" s="170" t="s">
        <v>215</v>
      </c>
      <c r="U90" s="172">
        <f>6000</f>
        <v>6000</v>
      </c>
    </row>
    <row r="91" spans="1:21" x14ac:dyDescent="0.2">
      <c r="A91" s="170" t="s">
        <v>216</v>
      </c>
      <c r="B91" s="172">
        <f>18112.95</f>
        <v>18112.95</v>
      </c>
      <c r="C91" s="151" t="s">
        <v>87</v>
      </c>
      <c r="E91" s="152">
        <f t="shared" si="105"/>
        <v>0.79803765817014449</v>
      </c>
      <c r="F91" s="152">
        <f t="shared" si="106"/>
        <v>9.2821780015374972E-2</v>
      </c>
      <c r="G91" s="152">
        <f t="shared" si="107"/>
        <v>0</v>
      </c>
      <c r="H91" s="152">
        <f t="shared" si="108"/>
        <v>2.0710298150789833E-3</v>
      </c>
      <c r="I91" s="152">
        <f t="shared" si="109"/>
        <v>0.10706953199940157</v>
      </c>
      <c r="K91" s="153">
        <f t="shared" si="115"/>
        <v>14454.816200552919</v>
      </c>
      <c r="L91" s="153">
        <f t="shared" si="116"/>
        <v>1681.2762603294861</v>
      </c>
      <c r="M91" s="153">
        <f t="shared" si="117"/>
        <v>0</v>
      </c>
      <c r="N91" s="153">
        <f t="shared" si="118"/>
        <v>37.512459489034875</v>
      </c>
      <c r="O91" s="153">
        <f t="shared" si="119"/>
        <v>1939.3450796285608</v>
      </c>
      <c r="Q91" s="157">
        <f t="shared" si="98"/>
        <v>0</v>
      </c>
      <c r="S91" s="168" t="b">
        <f t="shared" si="97"/>
        <v>1</v>
      </c>
      <c r="T91" s="170" t="s">
        <v>216</v>
      </c>
      <c r="U91" s="172">
        <f>18112.95</f>
        <v>18112.95</v>
      </c>
    </row>
    <row r="92" spans="1:21" x14ac:dyDescent="0.2">
      <c r="A92" s="170" t="s">
        <v>217</v>
      </c>
      <c r="B92" s="172">
        <f>25000</f>
        <v>25000</v>
      </c>
      <c r="C92" s="151" t="s">
        <v>98</v>
      </c>
      <c r="E92" s="152">
        <f t="shared" si="105"/>
        <v>0.79803765817014449</v>
      </c>
      <c r="F92" s="152">
        <f t="shared" si="106"/>
        <v>9.2821780015374972E-2</v>
      </c>
      <c r="G92" s="152">
        <f t="shared" si="107"/>
        <v>0</v>
      </c>
      <c r="H92" s="152">
        <f t="shared" si="108"/>
        <v>2.0710298150789833E-3</v>
      </c>
      <c r="I92" s="152">
        <f t="shared" si="109"/>
        <v>0.10706953199940157</v>
      </c>
      <c r="K92" s="153">
        <f t="shared" si="115"/>
        <v>19950.941454253611</v>
      </c>
      <c r="L92" s="153">
        <f t="shared" si="116"/>
        <v>2320.5445003843743</v>
      </c>
      <c r="M92" s="153">
        <f t="shared" si="117"/>
        <v>0</v>
      </c>
      <c r="N92" s="153">
        <f t="shared" si="118"/>
        <v>51.775745376974584</v>
      </c>
      <c r="O92" s="153">
        <f t="shared" si="119"/>
        <v>2676.7382999850392</v>
      </c>
      <c r="Q92" s="157">
        <f t="shared" si="98"/>
        <v>0</v>
      </c>
      <c r="S92" s="168" t="b">
        <f t="shared" si="97"/>
        <v>1</v>
      </c>
      <c r="T92" s="170" t="s">
        <v>217</v>
      </c>
      <c r="U92" s="172">
        <f>25000</f>
        <v>25000</v>
      </c>
    </row>
    <row r="93" spans="1:21" x14ac:dyDescent="0.2">
      <c r="A93" s="170" t="s">
        <v>218</v>
      </c>
      <c r="B93" s="172">
        <f>5000</f>
        <v>5000</v>
      </c>
      <c r="C93" s="151" t="s">
        <v>87</v>
      </c>
      <c r="E93" s="152">
        <f t="shared" si="105"/>
        <v>0.79803765817014449</v>
      </c>
      <c r="F93" s="152">
        <f t="shared" si="106"/>
        <v>9.2821780015374972E-2</v>
      </c>
      <c r="G93" s="152">
        <f t="shared" si="107"/>
        <v>0</v>
      </c>
      <c r="H93" s="152">
        <f t="shared" si="108"/>
        <v>2.0710298150789833E-3</v>
      </c>
      <c r="I93" s="152">
        <f t="shared" si="109"/>
        <v>0.10706953199940157</v>
      </c>
      <c r="K93" s="153">
        <f t="shared" si="115"/>
        <v>3990.1882908507223</v>
      </c>
      <c r="L93" s="153">
        <f t="shared" si="116"/>
        <v>464.10890007687487</v>
      </c>
      <c r="M93" s="153">
        <f t="shared" si="117"/>
        <v>0</v>
      </c>
      <c r="N93" s="153">
        <f t="shared" si="118"/>
        <v>10.355149075394916</v>
      </c>
      <c r="O93" s="153">
        <f t="shared" si="119"/>
        <v>535.3476599970079</v>
      </c>
      <c r="Q93" s="157">
        <f t="shared" si="98"/>
        <v>0</v>
      </c>
      <c r="S93" s="168" t="b">
        <f t="shared" si="97"/>
        <v>1</v>
      </c>
      <c r="T93" s="170" t="s">
        <v>218</v>
      </c>
      <c r="U93" s="172">
        <f>5000</f>
        <v>5000</v>
      </c>
    </row>
    <row r="94" spans="1:21" x14ac:dyDescent="0.2">
      <c r="A94" s="170" t="s">
        <v>219</v>
      </c>
      <c r="B94" s="172">
        <f>35000</f>
        <v>35000</v>
      </c>
      <c r="C94" s="151" t="s">
        <v>95</v>
      </c>
      <c r="E94" s="152">
        <f t="shared" si="105"/>
        <v>0.79803765817014449</v>
      </c>
      <c r="F94" s="152">
        <f t="shared" si="106"/>
        <v>9.2821780015374972E-2</v>
      </c>
      <c r="G94" s="152">
        <f t="shared" si="107"/>
        <v>0</v>
      </c>
      <c r="H94" s="152">
        <f t="shared" si="108"/>
        <v>2.0710298150789833E-3</v>
      </c>
      <c r="I94" s="152">
        <f t="shared" si="109"/>
        <v>0.10706953199940157</v>
      </c>
      <c r="K94" s="153">
        <f t="shared" si="115"/>
        <v>27931.318035955057</v>
      </c>
      <c r="L94" s="153">
        <f t="shared" si="116"/>
        <v>3248.7623005381242</v>
      </c>
      <c r="M94" s="153">
        <f t="shared" si="117"/>
        <v>0</v>
      </c>
      <c r="N94" s="153">
        <f t="shared" si="118"/>
        <v>72.486043527764423</v>
      </c>
      <c r="O94" s="153">
        <f t="shared" si="119"/>
        <v>3747.433619979055</v>
      </c>
      <c r="Q94" s="157">
        <f t="shared" si="98"/>
        <v>0</v>
      </c>
      <c r="S94" s="168" t="b">
        <f t="shared" si="97"/>
        <v>1</v>
      </c>
      <c r="T94" s="170" t="s">
        <v>219</v>
      </c>
      <c r="U94" s="172">
        <f>35000</f>
        <v>35000</v>
      </c>
    </row>
    <row r="95" spans="1:21" x14ac:dyDescent="0.2">
      <c r="A95" s="170" t="s">
        <v>220</v>
      </c>
      <c r="B95" s="172">
        <f>500</f>
        <v>500</v>
      </c>
      <c r="C95" s="151" t="s">
        <v>95</v>
      </c>
      <c r="E95" s="152">
        <f t="shared" si="105"/>
        <v>0.79803765817014449</v>
      </c>
      <c r="F95" s="152">
        <f t="shared" si="106"/>
        <v>9.2821780015374972E-2</v>
      </c>
      <c r="G95" s="152">
        <f t="shared" si="107"/>
        <v>0</v>
      </c>
      <c r="H95" s="152">
        <f t="shared" si="108"/>
        <v>2.0710298150789833E-3</v>
      </c>
      <c r="I95" s="152">
        <f t="shared" si="109"/>
        <v>0.10706953199940157</v>
      </c>
      <c r="K95" s="153">
        <f t="shared" si="115"/>
        <v>399.01882908507224</v>
      </c>
      <c r="L95" s="153">
        <f t="shared" si="116"/>
        <v>46.410890007687485</v>
      </c>
      <c r="M95" s="153">
        <f t="shared" si="117"/>
        <v>0</v>
      </c>
      <c r="N95" s="153">
        <f t="shared" si="118"/>
        <v>1.0355149075394916</v>
      </c>
      <c r="O95" s="153">
        <f t="shared" si="119"/>
        <v>53.534765999700788</v>
      </c>
      <c r="Q95" s="157">
        <f t="shared" si="98"/>
        <v>0</v>
      </c>
      <c r="S95" s="168" t="b">
        <f t="shared" si="97"/>
        <v>1</v>
      </c>
      <c r="T95" s="170" t="s">
        <v>220</v>
      </c>
      <c r="U95" s="172">
        <f>500</f>
        <v>500</v>
      </c>
    </row>
    <row r="96" spans="1:21" x14ac:dyDescent="0.2">
      <c r="A96" s="170" t="s">
        <v>221</v>
      </c>
      <c r="B96" s="172">
        <f>15000</f>
        <v>15000</v>
      </c>
      <c r="C96" s="151" t="s">
        <v>307</v>
      </c>
      <c r="E96" s="152">
        <f t="shared" si="105"/>
        <v>0.79803765817014449</v>
      </c>
      <c r="F96" s="152">
        <f t="shared" si="106"/>
        <v>9.2821780015374972E-2</v>
      </c>
      <c r="G96" s="152">
        <f t="shared" si="107"/>
        <v>0</v>
      </c>
      <c r="H96" s="152">
        <f t="shared" si="108"/>
        <v>2.0710298150789833E-3</v>
      </c>
      <c r="I96" s="152">
        <f t="shared" si="109"/>
        <v>0.10706953199940157</v>
      </c>
      <c r="K96" s="153">
        <f t="shared" si="115"/>
        <v>11970.564872552168</v>
      </c>
      <c r="L96" s="153">
        <f t="shared" si="116"/>
        <v>1392.3267002306245</v>
      </c>
      <c r="M96" s="153">
        <f t="shared" si="117"/>
        <v>0</v>
      </c>
      <c r="N96" s="153">
        <f t="shared" si="118"/>
        <v>31.065447226184748</v>
      </c>
      <c r="O96" s="153">
        <f t="shared" si="119"/>
        <v>1606.0429799910235</v>
      </c>
      <c r="Q96" s="157">
        <f t="shared" si="98"/>
        <v>0</v>
      </c>
      <c r="S96" s="168" t="b">
        <f t="shared" si="97"/>
        <v>1</v>
      </c>
      <c r="T96" s="170" t="s">
        <v>221</v>
      </c>
      <c r="U96" s="172">
        <f>15000</f>
        <v>15000</v>
      </c>
    </row>
    <row r="97" spans="1:21" x14ac:dyDescent="0.2">
      <c r="A97" s="170" t="s">
        <v>222</v>
      </c>
      <c r="B97" s="172">
        <f>5000</f>
        <v>5000</v>
      </c>
      <c r="C97" s="151" t="s">
        <v>86</v>
      </c>
      <c r="E97" s="149">
        <f>$H$3</f>
        <v>0.9015544041450777</v>
      </c>
      <c r="F97" s="149">
        <f>$I$3</f>
        <v>9.8445595854922283E-2</v>
      </c>
      <c r="G97" s="149"/>
      <c r="H97" s="149"/>
      <c r="I97" s="149"/>
      <c r="K97" s="153">
        <f t="shared" si="115"/>
        <v>4507.7720207253888</v>
      </c>
      <c r="L97" s="153">
        <f t="shared" si="116"/>
        <v>492.22797927461141</v>
      </c>
      <c r="M97" s="153">
        <f t="shared" si="117"/>
        <v>0</v>
      </c>
      <c r="N97" s="153">
        <f t="shared" si="118"/>
        <v>0</v>
      </c>
      <c r="O97" s="153">
        <f t="shared" si="119"/>
        <v>0</v>
      </c>
      <c r="Q97" s="157">
        <f t="shared" si="98"/>
        <v>0</v>
      </c>
      <c r="S97" s="168" t="b">
        <f t="shared" si="97"/>
        <v>1</v>
      </c>
      <c r="T97" s="170" t="s">
        <v>222</v>
      </c>
      <c r="U97" s="172">
        <f>5000</f>
        <v>5000</v>
      </c>
    </row>
    <row r="98" spans="1:21" x14ac:dyDescent="0.2">
      <c r="A98" s="170" t="s">
        <v>223</v>
      </c>
      <c r="B98" s="172">
        <f>5000</f>
        <v>5000</v>
      </c>
      <c r="C98" s="151" t="s">
        <v>91</v>
      </c>
      <c r="E98" s="149">
        <f>$H$3</f>
        <v>0.9015544041450777</v>
      </c>
      <c r="F98" s="149">
        <f>$I$3</f>
        <v>9.8445595854922283E-2</v>
      </c>
      <c r="G98" s="149"/>
      <c r="H98" s="149"/>
      <c r="I98" s="149"/>
      <c r="K98" s="153">
        <f t="shared" si="115"/>
        <v>4507.7720207253888</v>
      </c>
      <c r="L98" s="153">
        <f t="shared" si="116"/>
        <v>492.22797927461141</v>
      </c>
      <c r="M98" s="153">
        <f t="shared" si="117"/>
        <v>0</v>
      </c>
      <c r="N98" s="153">
        <f t="shared" si="118"/>
        <v>0</v>
      </c>
      <c r="O98" s="153">
        <f t="shared" si="119"/>
        <v>0</v>
      </c>
      <c r="Q98" s="157">
        <f t="shared" si="98"/>
        <v>0</v>
      </c>
      <c r="S98" s="168" t="b">
        <f t="shared" si="97"/>
        <v>1</v>
      </c>
      <c r="T98" s="170" t="s">
        <v>223</v>
      </c>
      <c r="U98" s="172">
        <f>5000</f>
        <v>5000</v>
      </c>
    </row>
    <row r="99" spans="1:21" x14ac:dyDescent="0.2">
      <c r="A99" s="170" t="s">
        <v>224</v>
      </c>
      <c r="B99" s="172">
        <f>20000</f>
        <v>20000</v>
      </c>
      <c r="C99" s="151" t="s">
        <v>88</v>
      </c>
      <c r="E99" s="152">
        <f t="shared" si="105"/>
        <v>0.79803765817014449</v>
      </c>
      <c r="F99" s="152">
        <f t="shared" si="106"/>
        <v>9.2821780015374972E-2</v>
      </c>
      <c r="G99" s="152">
        <f t="shared" si="107"/>
        <v>0</v>
      </c>
      <c r="H99" s="152">
        <f t="shared" si="108"/>
        <v>2.0710298150789833E-3</v>
      </c>
      <c r="I99" s="152">
        <f t="shared" si="109"/>
        <v>0.10706953199940157</v>
      </c>
      <c r="K99" s="153">
        <f t="shared" si="115"/>
        <v>15960.753163402889</v>
      </c>
      <c r="L99" s="153">
        <f t="shared" si="116"/>
        <v>1856.4356003074995</v>
      </c>
      <c r="M99" s="153">
        <f t="shared" si="117"/>
        <v>0</v>
      </c>
      <c r="N99" s="153">
        <f t="shared" si="118"/>
        <v>41.420596301579664</v>
      </c>
      <c r="O99" s="153">
        <f t="shared" si="119"/>
        <v>2141.3906399880316</v>
      </c>
      <c r="Q99" s="157">
        <f t="shared" si="98"/>
        <v>0</v>
      </c>
      <c r="S99" s="168" t="b">
        <f t="shared" si="97"/>
        <v>1</v>
      </c>
      <c r="T99" s="170" t="s">
        <v>224</v>
      </c>
      <c r="U99" s="172">
        <f>20000</f>
        <v>20000</v>
      </c>
    </row>
    <row r="100" spans="1:21" x14ac:dyDescent="0.2">
      <c r="A100" s="170" t="s">
        <v>225</v>
      </c>
      <c r="B100" s="173">
        <f>(((((((((((((B86)+(B87))+(B88))+(B89))+(B90))+(B91))+(B92))+(B93))+(B94))+(B95))+(B96))+(B97))+(B98))+(B99)</f>
        <v>181612.95</v>
      </c>
      <c r="E100" s="150" t="s">
        <v>305</v>
      </c>
      <c r="F100" s="150" t="s">
        <v>305</v>
      </c>
      <c r="G100" s="150" t="s">
        <v>305</v>
      </c>
      <c r="H100" s="150" t="s">
        <v>305</v>
      </c>
      <c r="I100" s="150" t="s">
        <v>305</v>
      </c>
      <c r="K100" s="150" t="s">
        <v>305</v>
      </c>
      <c r="L100" s="150" t="s">
        <v>305</v>
      </c>
      <c r="M100" s="150" t="s">
        <v>305</v>
      </c>
      <c r="N100" s="150" t="s">
        <v>305</v>
      </c>
      <c r="O100" s="150" t="s">
        <v>305</v>
      </c>
      <c r="Q100" s="157">
        <f t="shared" si="98"/>
        <v>-181612.95</v>
      </c>
      <c r="S100" s="168" t="b">
        <f t="shared" si="97"/>
        <v>1</v>
      </c>
      <c r="T100" s="170" t="s">
        <v>225</v>
      </c>
      <c r="U100" s="173">
        <f>(((((((((((((U86)+(U87))+(U88))+(U89))+(U90))+(U91))+(U92))+(U93))+(U94))+(U95))+(U96))+(U97))+(U98))+(U99)</f>
        <v>181612.95</v>
      </c>
    </row>
    <row r="101" spans="1:21" x14ac:dyDescent="0.2">
      <c r="A101" s="170" t="s">
        <v>226</v>
      </c>
      <c r="B101" s="171"/>
      <c r="Q101" s="157">
        <f t="shared" si="98"/>
        <v>0</v>
      </c>
      <c r="S101" s="168" t="b">
        <f t="shared" si="97"/>
        <v>1</v>
      </c>
      <c r="T101" s="170" t="s">
        <v>226</v>
      </c>
      <c r="U101" s="171"/>
    </row>
    <row r="102" spans="1:21" x14ac:dyDescent="0.2">
      <c r="A102" s="170" t="s">
        <v>227</v>
      </c>
      <c r="B102" s="172">
        <f>24000</f>
        <v>24000</v>
      </c>
      <c r="C102" s="151" t="s">
        <v>65</v>
      </c>
      <c r="E102" s="167">
        <v>0</v>
      </c>
      <c r="F102" s="167">
        <v>0</v>
      </c>
      <c r="G102" s="167">
        <f t="shared" ref="G102:G111" si="120">$M$3</f>
        <v>0</v>
      </c>
      <c r="H102" s="167">
        <v>0</v>
      </c>
      <c r="I102" s="167">
        <v>1</v>
      </c>
      <c r="K102" s="153">
        <f t="shared" ref="K102:K110" si="121">B102*E102</f>
        <v>0</v>
      </c>
      <c r="L102" s="153">
        <f t="shared" ref="L102:L110" si="122">B102*F102</f>
        <v>0</v>
      </c>
      <c r="M102" s="153">
        <f t="shared" ref="M102:M110" si="123">B102*G102</f>
        <v>0</v>
      </c>
      <c r="N102" s="153">
        <f t="shared" ref="N102:N110" si="124">B102*H102</f>
        <v>0</v>
      </c>
      <c r="O102" s="153">
        <f t="shared" ref="O102:O110" si="125">B102*I102</f>
        <v>24000</v>
      </c>
      <c r="Q102" s="157">
        <f t="shared" si="98"/>
        <v>0</v>
      </c>
      <c r="S102" s="168" t="b">
        <f t="shared" si="97"/>
        <v>1</v>
      </c>
      <c r="T102" s="170" t="s">
        <v>227</v>
      </c>
      <c r="U102" s="172">
        <f>24000</f>
        <v>24000</v>
      </c>
    </row>
    <row r="103" spans="1:21" x14ac:dyDescent="0.2">
      <c r="A103" s="170" t="s">
        <v>228</v>
      </c>
      <c r="B103" s="172">
        <f>6000</f>
        <v>6000</v>
      </c>
      <c r="C103" s="151" t="s">
        <v>70</v>
      </c>
      <c r="E103" s="167">
        <v>0</v>
      </c>
      <c r="F103" s="167">
        <v>0</v>
      </c>
      <c r="G103" s="167">
        <f t="shared" si="120"/>
        <v>0</v>
      </c>
      <c r="H103" s="167">
        <v>0</v>
      </c>
      <c r="I103" s="167">
        <v>1</v>
      </c>
      <c r="K103" s="153">
        <f t="shared" si="121"/>
        <v>0</v>
      </c>
      <c r="L103" s="153">
        <f t="shared" si="122"/>
        <v>0</v>
      </c>
      <c r="M103" s="153">
        <f t="shared" si="123"/>
        <v>0</v>
      </c>
      <c r="N103" s="153">
        <f t="shared" si="124"/>
        <v>0</v>
      </c>
      <c r="O103" s="153">
        <f t="shared" si="125"/>
        <v>6000</v>
      </c>
      <c r="Q103" s="157">
        <f t="shared" si="98"/>
        <v>0</v>
      </c>
      <c r="S103" s="168" t="b">
        <f t="shared" si="97"/>
        <v>1</v>
      </c>
      <c r="T103" s="170" t="s">
        <v>228</v>
      </c>
      <c r="U103" s="172">
        <f>6000</f>
        <v>6000</v>
      </c>
    </row>
    <row r="104" spans="1:21" x14ac:dyDescent="0.2">
      <c r="A104" s="170" t="s">
        <v>229</v>
      </c>
      <c r="B104" s="172">
        <f>15000</f>
        <v>15000</v>
      </c>
      <c r="C104" s="151" t="s">
        <v>66</v>
      </c>
      <c r="E104" s="152">
        <f t="shared" ref="E104:E111" si="126">$K$3</f>
        <v>0.79803765817014449</v>
      </c>
      <c r="F104" s="152">
        <f t="shared" ref="F104:F111" si="127">$L$3</f>
        <v>9.2821780015374972E-2</v>
      </c>
      <c r="G104" s="152">
        <f t="shared" si="120"/>
        <v>0</v>
      </c>
      <c r="H104" s="152">
        <f t="shared" ref="H104:H111" si="128">$N$3</f>
        <v>2.0710298150789833E-3</v>
      </c>
      <c r="I104" s="152">
        <f t="shared" ref="I104:I111" si="129">$O$3</f>
        <v>0.10706953199940157</v>
      </c>
      <c r="K104" s="153">
        <f t="shared" si="121"/>
        <v>11970.564872552168</v>
      </c>
      <c r="L104" s="153">
        <f t="shared" si="122"/>
        <v>1392.3267002306245</v>
      </c>
      <c r="M104" s="153">
        <f t="shared" si="123"/>
        <v>0</v>
      </c>
      <c r="N104" s="153">
        <f t="shared" si="124"/>
        <v>31.065447226184748</v>
      </c>
      <c r="O104" s="153">
        <f t="shared" si="125"/>
        <v>1606.0429799910235</v>
      </c>
      <c r="Q104" s="157">
        <f t="shared" si="98"/>
        <v>0</v>
      </c>
      <c r="S104" s="168" t="b">
        <f t="shared" si="97"/>
        <v>1</v>
      </c>
      <c r="T104" s="170" t="s">
        <v>229</v>
      </c>
      <c r="U104" s="172">
        <f>15000</f>
        <v>15000</v>
      </c>
    </row>
    <row r="105" spans="1:21" x14ac:dyDescent="0.2">
      <c r="A105" s="170" t="s">
        <v>230</v>
      </c>
      <c r="B105" s="172">
        <f>64000</f>
        <v>64000</v>
      </c>
      <c r="C105" s="151" t="s">
        <v>73</v>
      </c>
      <c r="E105" s="167">
        <v>0</v>
      </c>
      <c r="F105" s="167">
        <v>0</v>
      </c>
      <c r="G105" s="167">
        <f t="shared" si="120"/>
        <v>0</v>
      </c>
      <c r="H105" s="167">
        <v>0</v>
      </c>
      <c r="I105" s="167">
        <v>1</v>
      </c>
      <c r="K105" s="153">
        <f t="shared" si="121"/>
        <v>0</v>
      </c>
      <c r="L105" s="153">
        <f t="shared" si="122"/>
        <v>0</v>
      </c>
      <c r="M105" s="153">
        <f t="shared" si="123"/>
        <v>0</v>
      </c>
      <c r="N105" s="153">
        <f t="shared" si="124"/>
        <v>0</v>
      </c>
      <c r="O105" s="153">
        <f t="shared" si="125"/>
        <v>64000</v>
      </c>
      <c r="Q105" s="157">
        <f t="shared" si="98"/>
        <v>0</v>
      </c>
      <c r="S105" s="168" t="b">
        <f t="shared" si="97"/>
        <v>1</v>
      </c>
      <c r="T105" s="170" t="s">
        <v>230</v>
      </c>
      <c r="U105" s="172">
        <f>64000</f>
        <v>64000</v>
      </c>
    </row>
    <row r="106" spans="1:21" x14ac:dyDescent="0.2">
      <c r="A106" s="170" t="s">
        <v>231</v>
      </c>
      <c r="B106" s="172">
        <f>100000</f>
        <v>100000</v>
      </c>
      <c r="C106" s="151" t="s">
        <v>73</v>
      </c>
      <c r="E106" s="167">
        <v>0</v>
      </c>
      <c r="F106" s="167">
        <v>0</v>
      </c>
      <c r="G106" s="167">
        <f t="shared" si="120"/>
        <v>0</v>
      </c>
      <c r="H106" s="167">
        <v>0</v>
      </c>
      <c r="I106" s="167">
        <v>1</v>
      </c>
      <c r="K106" s="153">
        <f t="shared" si="121"/>
        <v>0</v>
      </c>
      <c r="L106" s="153">
        <f t="shared" si="122"/>
        <v>0</v>
      </c>
      <c r="M106" s="153">
        <f t="shared" si="123"/>
        <v>0</v>
      </c>
      <c r="N106" s="153">
        <f t="shared" si="124"/>
        <v>0</v>
      </c>
      <c r="O106" s="153">
        <f t="shared" si="125"/>
        <v>100000</v>
      </c>
      <c r="Q106" s="157">
        <f t="shared" si="98"/>
        <v>0</v>
      </c>
      <c r="S106" s="168" t="b">
        <f t="shared" si="97"/>
        <v>1</v>
      </c>
      <c r="T106" s="170" t="s">
        <v>231</v>
      </c>
      <c r="U106" s="172">
        <f>100000</f>
        <v>100000</v>
      </c>
    </row>
    <row r="107" spans="1:21" x14ac:dyDescent="0.2">
      <c r="A107" s="170" t="s">
        <v>232</v>
      </c>
      <c r="B107" s="172">
        <f>75600</f>
        <v>75600</v>
      </c>
      <c r="C107" s="151" t="s">
        <v>73</v>
      </c>
      <c r="E107" s="149">
        <f>$H$3</f>
        <v>0.9015544041450777</v>
      </c>
      <c r="F107" s="149">
        <f>$I$3</f>
        <v>9.8445595854922283E-2</v>
      </c>
      <c r="G107" s="149"/>
      <c r="H107" s="149"/>
      <c r="I107" s="149"/>
      <c r="K107" s="153">
        <f t="shared" si="121"/>
        <v>68157.51295336787</v>
      </c>
      <c r="L107" s="153">
        <f t="shared" si="122"/>
        <v>7442.4870466321245</v>
      </c>
      <c r="M107" s="153">
        <f t="shared" si="123"/>
        <v>0</v>
      </c>
      <c r="N107" s="153">
        <f t="shared" si="124"/>
        <v>0</v>
      </c>
      <c r="O107" s="153">
        <f t="shared" si="125"/>
        <v>0</v>
      </c>
      <c r="Q107" s="157">
        <f t="shared" si="98"/>
        <v>0</v>
      </c>
      <c r="S107" s="168" t="b">
        <f t="shared" si="97"/>
        <v>1</v>
      </c>
      <c r="T107" s="170" t="s">
        <v>232</v>
      </c>
      <c r="U107" s="172">
        <f>75600</f>
        <v>75600</v>
      </c>
    </row>
    <row r="108" spans="1:21" x14ac:dyDescent="0.2">
      <c r="A108" s="170" t="s">
        <v>233</v>
      </c>
      <c r="B108" s="172">
        <f>5000</f>
        <v>5000</v>
      </c>
      <c r="C108" s="151" t="s">
        <v>73</v>
      </c>
      <c r="E108" s="152">
        <f t="shared" si="126"/>
        <v>0.79803765817014449</v>
      </c>
      <c r="F108" s="152">
        <f t="shared" si="127"/>
        <v>9.2821780015374972E-2</v>
      </c>
      <c r="G108" s="152">
        <f t="shared" si="120"/>
        <v>0</v>
      </c>
      <c r="H108" s="152">
        <f t="shared" si="128"/>
        <v>2.0710298150789833E-3</v>
      </c>
      <c r="I108" s="152">
        <f t="shared" si="129"/>
        <v>0.10706953199940157</v>
      </c>
      <c r="K108" s="153">
        <f t="shared" si="121"/>
        <v>3990.1882908507223</v>
      </c>
      <c r="L108" s="153">
        <f t="shared" si="122"/>
        <v>464.10890007687487</v>
      </c>
      <c r="M108" s="153">
        <f t="shared" si="123"/>
        <v>0</v>
      </c>
      <c r="N108" s="153">
        <f t="shared" si="124"/>
        <v>10.355149075394916</v>
      </c>
      <c r="O108" s="153">
        <f t="shared" si="125"/>
        <v>535.3476599970079</v>
      </c>
      <c r="Q108" s="157">
        <f t="shared" si="98"/>
        <v>0</v>
      </c>
      <c r="S108" s="168" t="b">
        <f t="shared" si="97"/>
        <v>1</v>
      </c>
      <c r="T108" s="170" t="s">
        <v>233</v>
      </c>
      <c r="U108" s="172">
        <f>5000</f>
        <v>5000</v>
      </c>
    </row>
    <row r="109" spans="1:21" x14ac:dyDescent="0.2">
      <c r="A109" s="170" t="s">
        <v>234</v>
      </c>
      <c r="B109" s="172">
        <f>2000</f>
        <v>2000</v>
      </c>
      <c r="C109" s="151" t="s">
        <v>73</v>
      </c>
      <c r="E109" s="149">
        <f>$H$3</f>
        <v>0.9015544041450777</v>
      </c>
      <c r="F109" s="149">
        <f>$I$3</f>
        <v>9.8445595854922283E-2</v>
      </c>
      <c r="G109" s="149"/>
      <c r="H109" s="149"/>
      <c r="I109" s="149"/>
      <c r="K109" s="153">
        <f t="shared" si="121"/>
        <v>1803.1088082901554</v>
      </c>
      <c r="L109" s="153">
        <f t="shared" si="122"/>
        <v>196.89119170984458</v>
      </c>
      <c r="M109" s="153">
        <f t="shared" si="123"/>
        <v>0</v>
      </c>
      <c r="N109" s="153">
        <f t="shared" si="124"/>
        <v>0</v>
      </c>
      <c r="O109" s="153">
        <f t="shared" si="125"/>
        <v>0</v>
      </c>
      <c r="Q109" s="157">
        <f t="shared" si="98"/>
        <v>0</v>
      </c>
      <c r="S109" s="168" t="b">
        <f t="shared" si="97"/>
        <v>1</v>
      </c>
      <c r="T109" s="170" t="s">
        <v>234</v>
      </c>
      <c r="U109" s="172">
        <f>2000</f>
        <v>2000</v>
      </c>
    </row>
    <row r="110" spans="1:21" x14ac:dyDescent="0.2">
      <c r="A110" s="170" t="s">
        <v>235</v>
      </c>
      <c r="B110" s="172">
        <f>8000</f>
        <v>8000</v>
      </c>
      <c r="C110" s="151" t="s">
        <v>73</v>
      </c>
      <c r="E110" s="152">
        <f t="shared" si="126"/>
        <v>0.79803765817014449</v>
      </c>
      <c r="F110" s="152">
        <f t="shared" si="127"/>
        <v>9.2821780015374972E-2</v>
      </c>
      <c r="G110" s="152">
        <f t="shared" si="120"/>
        <v>0</v>
      </c>
      <c r="H110" s="152">
        <f t="shared" si="128"/>
        <v>2.0710298150789833E-3</v>
      </c>
      <c r="I110" s="152">
        <f t="shared" si="129"/>
        <v>0.10706953199940157</v>
      </c>
      <c r="K110" s="153">
        <f t="shared" si="121"/>
        <v>6384.3012653611559</v>
      </c>
      <c r="L110" s="153">
        <f t="shared" si="122"/>
        <v>742.57424012299975</v>
      </c>
      <c r="M110" s="153">
        <f t="shared" si="123"/>
        <v>0</v>
      </c>
      <c r="N110" s="153">
        <f t="shared" si="124"/>
        <v>16.568238520631866</v>
      </c>
      <c r="O110" s="153">
        <f t="shared" si="125"/>
        <v>856.55625599521261</v>
      </c>
      <c r="Q110" s="157">
        <f t="shared" si="98"/>
        <v>0</v>
      </c>
      <c r="S110" s="168" t="b">
        <f t="shared" si="97"/>
        <v>1</v>
      </c>
      <c r="T110" s="170" t="s">
        <v>235</v>
      </c>
      <c r="U110" s="172">
        <f>8000</f>
        <v>8000</v>
      </c>
    </row>
    <row r="111" spans="1:21" x14ac:dyDescent="0.2">
      <c r="A111" s="170" t="s">
        <v>329</v>
      </c>
      <c r="B111" s="172">
        <f>5000</f>
        <v>5000</v>
      </c>
      <c r="C111" s="151" t="s">
        <v>73</v>
      </c>
      <c r="D111" s="168"/>
      <c r="E111" s="152">
        <f t="shared" si="126"/>
        <v>0.79803765817014449</v>
      </c>
      <c r="F111" s="152">
        <f t="shared" si="127"/>
        <v>9.2821780015374972E-2</v>
      </c>
      <c r="G111" s="152">
        <f t="shared" si="120"/>
        <v>0</v>
      </c>
      <c r="H111" s="152">
        <f t="shared" si="128"/>
        <v>2.0710298150789833E-3</v>
      </c>
      <c r="I111" s="152">
        <f t="shared" si="129"/>
        <v>0.10706953199940157</v>
      </c>
      <c r="J111" s="168"/>
      <c r="K111" s="153">
        <f t="shared" ref="K111" si="130">B111*E111</f>
        <v>3990.1882908507223</v>
      </c>
      <c r="L111" s="153">
        <f t="shared" ref="L111" si="131">B111*F111</f>
        <v>464.10890007687487</v>
      </c>
      <c r="M111" s="153">
        <f t="shared" ref="M111" si="132">B111*G111</f>
        <v>0</v>
      </c>
      <c r="N111" s="153">
        <f t="shared" ref="N111" si="133">B111*H111</f>
        <v>10.355149075394916</v>
      </c>
      <c r="O111" s="153">
        <f t="shared" ref="O111" si="134">B111*I111</f>
        <v>535.3476599970079</v>
      </c>
      <c r="P111" s="168"/>
      <c r="Q111" s="157">
        <f t="shared" ref="Q111" si="135">SUM(K111:P111)-B111</f>
        <v>0</v>
      </c>
      <c r="S111" s="168" t="b">
        <f t="shared" si="97"/>
        <v>1</v>
      </c>
      <c r="T111" s="170" t="s">
        <v>329</v>
      </c>
      <c r="U111" s="172">
        <f>5000</f>
        <v>5000</v>
      </c>
    </row>
    <row r="112" spans="1:21" x14ac:dyDescent="0.2">
      <c r="A112" s="170" t="s">
        <v>236</v>
      </c>
      <c r="B112" s="173">
        <f>((((((((((B101)+(B102))+(B103))+(B104))+(B105))+(B106))+(B107))+(B108))+(B109))+(B110))+(B111)</f>
        <v>304600</v>
      </c>
      <c r="E112" s="150" t="s">
        <v>305</v>
      </c>
      <c r="F112" s="150" t="s">
        <v>305</v>
      </c>
      <c r="G112" s="150" t="s">
        <v>305</v>
      </c>
      <c r="H112" s="150" t="s">
        <v>305</v>
      </c>
      <c r="I112" s="150" t="s">
        <v>305</v>
      </c>
      <c r="K112" s="150" t="s">
        <v>305</v>
      </c>
      <c r="L112" s="150" t="s">
        <v>305</v>
      </c>
      <c r="M112" s="150" t="s">
        <v>305</v>
      </c>
      <c r="N112" s="150" t="s">
        <v>305</v>
      </c>
      <c r="O112" s="150" t="s">
        <v>305</v>
      </c>
      <c r="Q112" s="157">
        <f t="shared" si="98"/>
        <v>-304600</v>
      </c>
      <c r="S112" s="168" t="b">
        <f t="shared" si="97"/>
        <v>1</v>
      </c>
      <c r="T112" s="170" t="s">
        <v>236</v>
      </c>
      <c r="U112" s="173">
        <f>((((((((((U101)+(U102))+(U103))+(U104))+(U105))+(U106))+(U107))+(U108))+(U109))+(U110))+(U111)</f>
        <v>304600</v>
      </c>
    </row>
    <row r="113" spans="1:21" x14ac:dyDescent="0.2">
      <c r="A113" s="170" t="s">
        <v>237</v>
      </c>
      <c r="B113" s="171"/>
      <c r="Q113" s="157">
        <f t="shared" si="98"/>
        <v>0</v>
      </c>
      <c r="S113" s="168" t="b">
        <f t="shared" si="97"/>
        <v>1</v>
      </c>
      <c r="T113" s="170" t="s">
        <v>237</v>
      </c>
      <c r="U113" s="171"/>
    </row>
    <row r="114" spans="1:21" x14ac:dyDescent="0.2">
      <c r="A114" s="170" t="s">
        <v>238</v>
      </c>
      <c r="B114" s="172">
        <f>24000</f>
        <v>24000</v>
      </c>
      <c r="C114" s="151" t="s">
        <v>88</v>
      </c>
      <c r="E114" s="149">
        <f>$H$3</f>
        <v>0.9015544041450777</v>
      </c>
      <c r="F114" s="149">
        <f>$I$3</f>
        <v>9.8445595854922283E-2</v>
      </c>
      <c r="G114" s="149"/>
      <c r="H114" s="149"/>
      <c r="I114" s="149"/>
      <c r="K114" s="153">
        <f t="shared" ref="K114:K116" si="136">B114*E114</f>
        <v>21637.305699481865</v>
      </c>
      <c r="L114" s="153">
        <f t="shared" ref="L114:L116" si="137">B114*F114</f>
        <v>2362.6943005181347</v>
      </c>
      <c r="M114" s="153">
        <f t="shared" ref="M114:M116" si="138">B114*G114</f>
        <v>0</v>
      </c>
      <c r="N114" s="153">
        <f t="shared" ref="N114:N116" si="139">B114*H114</f>
        <v>0</v>
      </c>
      <c r="O114" s="153">
        <f t="shared" ref="O114:O116" si="140">B114*I114</f>
        <v>0</v>
      </c>
      <c r="Q114" s="157">
        <f t="shared" si="98"/>
        <v>0</v>
      </c>
      <c r="S114" s="168" t="b">
        <f t="shared" si="97"/>
        <v>1</v>
      </c>
      <c r="T114" s="170" t="s">
        <v>238</v>
      </c>
      <c r="U114" s="172">
        <f>24000</f>
        <v>24000</v>
      </c>
    </row>
    <row r="115" spans="1:21" x14ac:dyDescent="0.2">
      <c r="A115" s="170" t="s">
        <v>239</v>
      </c>
      <c r="B115" s="172">
        <f>2000</f>
        <v>2000</v>
      </c>
      <c r="C115" s="151" t="s">
        <v>88</v>
      </c>
      <c r="E115" s="149">
        <f>$H$3</f>
        <v>0.9015544041450777</v>
      </c>
      <c r="F115" s="149">
        <f>$I$3</f>
        <v>9.8445595854922283E-2</v>
      </c>
      <c r="G115" s="149"/>
      <c r="H115" s="149"/>
      <c r="I115" s="149"/>
      <c r="K115" s="153">
        <f t="shared" si="136"/>
        <v>1803.1088082901554</v>
      </c>
      <c r="L115" s="153">
        <f t="shared" si="137"/>
        <v>196.89119170984458</v>
      </c>
      <c r="M115" s="153">
        <f t="shared" si="138"/>
        <v>0</v>
      </c>
      <c r="N115" s="153">
        <f t="shared" si="139"/>
        <v>0</v>
      </c>
      <c r="O115" s="153">
        <f t="shared" si="140"/>
        <v>0</v>
      </c>
      <c r="Q115" s="157">
        <f t="shared" si="98"/>
        <v>0</v>
      </c>
      <c r="S115" s="168" t="b">
        <f t="shared" si="97"/>
        <v>1</v>
      </c>
      <c r="T115" s="170" t="s">
        <v>239</v>
      </c>
      <c r="U115" s="172">
        <f>2000</f>
        <v>2000</v>
      </c>
    </row>
    <row r="116" spans="1:21" x14ac:dyDescent="0.2">
      <c r="A116" s="170" t="s">
        <v>240</v>
      </c>
      <c r="B116" s="172">
        <f>1000</f>
        <v>1000</v>
      </c>
      <c r="C116" s="151" t="s">
        <v>76</v>
      </c>
      <c r="E116" s="152">
        <f t="shared" ref="E116" si="141">$K$3</f>
        <v>0.79803765817014449</v>
      </c>
      <c r="F116" s="152">
        <f t="shared" ref="F116" si="142">$L$3</f>
        <v>9.2821780015374972E-2</v>
      </c>
      <c r="G116" s="152">
        <f t="shared" ref="G116" si="143">$M$3</f>
        <v>0</v>
      </c>
      <c r="H116" s="152">
        <f t="shared" ref="H116" si="144">$N$3</f>
        <v>2.0710298150789833E-3</v>
      </c>
      <c r="I116" s="152">
        <f t="shared" ref="I116" si="145">$O$3</f>
        <v>0.10706953199940157</v>
      </c>
      <c r="K116" s="153">
        <f t="shared" si="136"/>
        <v>798.03765817014448</v>
      </c>
      <c r="L116" s="153">
        <f t="shared" si="137"/>
        <v>92.821780015374969</v>
      </c>
      <c r="M116" s="153">
        <f t="shared" si="138"/>
        <v>0</v>
      </c>
      <c r="N116" s="153">
        <f t="shared" si="139"/>
        <v>2.0710298150789832</v>
      </c>
      <c r="O116" s="153">
        <f t="shared" si="140"/>
        <v>107.06953199940158</v>
      </c>
      <c r="Q116" s="157">
        <f t="shared" si="98"/>
        <v>0</v>
      </c>
      <c r="S116" s="168" t="b">
        <f t="shared" si="97"/>
        <v>1</v>
      </c>
      <c r="T116" s="170" t="s">
        <v>240</v>
      </c>
      <c r="U116" s="172">
        <f>1000</f>
        <v>1000</v>
      </c>
    </row>
    <row r="117" spans="1:21" x14ac:dyDescent="0.2">
      <c r="A117" s="170" t="s">
        <v>241</v>
      </c>
      <c r="B117" s="173">
        <f>(((B113)+(B114))+(B115))+(B116)</f>
        <v>27000</v>
      </c>
      <c r="C117" s="151"/>
      <c r="E117" s="150" t="s">
        <v>305</v>
      </c>
      <c r="F117" s="150" t="s">
        <v>305</v>
      </c>
      <c r="G117" s="150" t="s">
        <v>305</v>
      </c>
      <c r="H117" s="150" t="s">
        <v>305</v>
      </c>
      <c r="I117" s="150" t="s">
        <v>305</v>
      </c>
      <c r="K117" s="150" t="s">
        <v>305</v>
      </c>
      <c r="L117" s="150" t="s">
        <v>305</v>
      </c>
      <c r="M117" s="150" t="s">
        <v>305</v>
      </c>
      <c r="N117" s="150" t="s">
        <v>305</v>
      </c>
      <c r="O117" s="150" t="s">
        <v>305</v>
      </c>
      <c r="Q117" s="157">
        <f t="shared" si="98"/>
        <v>-27000</v>
      </c>
      <c r="S117" s="168" t="b">
        <f t="shared" si="97"/>
        <v>1</v>
      </c>
      <c r="T117" s="170" t="s">
        <v>241</v>
      </c>
      <c r="U117" s="173">
        <f>(((U113)+(U114))+(U115))+(U116)</f>
        <v>27000</v>
      </c>
    </row>
    <row r="118" spans="1:21" x14ac:dyDescent="0.2">
      <c r="A118" s="170" t="s">
        <v>242</v>
      </c>
      <c r="B118" s="171"/>
      <c r="C118" s="151"/>
      <c r="Q118" s="157">
        <f t="shared" si="98"/>
        <v>0</v>
      </c>
      <c r="S118" s="168" t="b">
        <f t="shared" si="97"/>
        <v>1</v>
      </c>
      <c r="T118" s="170" t="s">
        <v>242</v>
      </c>
      <c r="U118" s="171"/>
    </row>
    <row r="119" spans="1:21" x14ac:dyDescent="0.2">
      <c r="A119" s="170" t="s">
        <v>243</v>
      </c>
      <c r="B119" s="172">
        <f>10000</f>
        <v>10000</v>
      </c>
      <c r="C119" s="151" t="s">
        <v>89</v>
      </c>
      <c r="E119" s="152">
        <f t="shared" ref="E119" si="146">$K$3</f>
        <v>0.79803765817014449</v>
      </c>
      <c r="F119" s="152">
        <f t="shared" ref="F119" si="147">$L$3</f>
        <v>9.2821780015374972E-2</v>
      </c>
      <c r="G119" s="152">
        <f t="shared" ref="G119" si="148">$M$3</f>
        <v>0</v>
      </c>
      <c r="H119" s="152">
        <f t="shared" ref="H119" si="149">$N$3</f>
        <v>2.0710298150789833E-3</v>
      </c>
      <c r="I119" s="152">
        <f t="shared" ref="I119" si="150">$O$3</f>
        <v>0.10706953199940157</v>
      </c>
      <c r="K119" s="153">
        <f t="shared" ref="K119:K120" si="151">B119*E119</f>
        <v>7980.3765817014446</v>
      </c>
      <c r="L119" s="153">
        <f t="shared" ref="L119:L120" si="152">B119*F119</f>
        <v>928.21780015374975</v>
      </c>
      <c r="M119" s="153">
        <f t="shared" ref="M119:M120" si="153">B119*G119</f>
        <v>0</v>
      </c>
      <c r="N119" s="153">
        <f t="shared" ref="N119:N120" si="154">B119*H119</f>
        <v>20.710298150789832</v>
      </c>
      <c r="O119" s="153">
        <f t="shared" ref="O119:O120" si="155">B119*I119</f>
        <v>1070.6953199940158</v>
      </c>
      <c r="Q119" s="157">
        <f t="shared" si="98"/>
        <v>0</v>
      </c>
      <c r="S119" s="168" t="b">
        <f t="shared" si="97"/>
        <v>1</v>
      </c>
      <c r="T119" s="170" t="s">
        <v>243</v>
      </c>
      <c r="U119" s="172">
        <f>10000</f>
        <v>10000</v>
      </c>
    </row>
    <row r="120" spans="1:21" x14ac:dyDescent="0.2">
      <c r="A120" s="170" t="s">
        <v>244</v>
      </c>
      <c r="B120" s="172">
        <f>15000</f>
        <v>15000</v>
      </c>
      <c r="C120" s="151" t="s">
        <v>90</v>
      </c>
      <c r="E120" s="149">
        <f>$H$3</f>
        <v>0.9015544041450777</v>
      </c>
      <c r="F120" s="149">
        <f>$I$3</f>
        <v>9.8445595854922283E-2</v>
      </c>
      <c r="G120" s="149"/>
      <c r="H120" s="149"/>
      <c r="I120" s="149"/>
      <c r="K120" s="153">
        <f t="shared" si="151"/>
        <v>13523.316062176165</v>
      </c>
      <c r="L120" s="153">
        <f t="shared" si="152"/>
        <v>1476.6839378238342</v>
      </c>
      <c r="M120" s="153">
        <f t="shared" si="153"/>
        <v>0</v>
      </c>
      <c r="N120" s="153">
        <f t="shared" si="154"/>
        <v>0</v>
      </c>
      <c r="O120" s="153">
        <f t="shared" si="155"/>
        <v>0</v>
      </c>
      <c r="Q120" s="157">
        <f t="shared" si="98"/>
        <v>0</v>
      </c>
      <c r="S120" s="168" t="b">
        <f t="shared" si="97"/>
        <v>1</v>
      </c>
      <c r="T120" s="170" t="s">
        <v>244</v>
      </c>
      <c r="U120" s="172">
        <f>15000</f>
        <v>15000</v>
      </c>
    </row>
    <row r="121" spans="1:21" x14ac:dyDescent="0.2">
      <c r="A121" s="170" t="s">
        <v>245</v>
      </c>
      <c r="B121" s="173">
        <f>((B118)+(B119))+(B120)</f>
        <v>25000</v>
      </c>
      <c r="C121" s="151"/>
      <c r="E121" s="150" t="s">
        <v>305</v>
      </c>
      <c r="F121" s="150" t="s">
        <v>305</v>
      </c>
      <c r="G121" s="150" t="s">
        <v>305</v>
      </c>
      <c r="H121" s="150" t="s">
        <v>305</v>
      </c>
      <c r="I121" s="150" t="s">
        <v>305</v>
      </c>
      <c r="K121" s="150" t="s">
        <v>305</v>
      </c>
      <c r="L121" s="150" t="s">
        <v>305</v>
      </c>
      <c r="M121" s="150" t="s">
        <v>305</v>
      </c>
      <c r="N121" s="150" t="s">
        <v>305</v>
      </c>
      <c r="O121" s="150" t="s">
        <v>305</v>
      </c>
      <c r="Q121" s="157">
        <f t="shared" si="98"/>
        <v>-25000</v>
      </c>
      <c r="S121" s="168" t="b">
        <f t="shared" si="97"/>
        <v>1</v>
      </c>
      <c r="T121" s="170" t="s">
        <v>245</v>
      </c>
      <c r="U121" s="173">
        <f>((U118)+(U119))+(U120)</f>
        <v>25000</v>
      </c>
    </row>
    <row r="122" spans="1:21" x14ac:dyDescent="0.2">
      <c r="A122" s="170" t="s">
        <v>246</v>
      </c>
      <c r="B122" s="171"/>
      <c r="C122" s="151"/>
      <c r="Q122" s="157">
        <f t="shared" si="98"/>
        <v>0</v>
      </c>
      <c r="S122" s="168" t="b">
        <f t="shared" si="97"/>
        <v>1</v>
      </c>
      <c r="T122" s="170" t="s">
        <v>246</v>
      </c>
      <c r="U122" s="171"/>
    </row>
    <row r="123" spans="1:21" x14ac:dyDescent="0.2">
      <c r="A123" s="170" t="s">
        <v>247</v>
      </c>
      <c r="B123" s="172">
        <f>1000</f>
        <v>1000</v>
      </c>
      <c r="C123" s="151" t="s">
        <v>25</v>
      </c>
      <c r="E123" s="152">
        <f t="shared" ref="E123" si="156">$K$3</f>
        <v>0.79803765817014449</v>
      </c>
      <c r="F123" s="152">
        <f t="shared" ref="F123" si="157">$L$3</f>
        <v>9.2821780015374972E-2</v>
      </c>
      <c r="G123" s="152">
        <f t="shared" ref="G123" si="158">$M$3</f>
        <v>0</v>
      </c>
      <c r="H123" s="152">
        <f t="shared" ref="H123" si="159">$N$3</f>
        <v>2.0710298150789833E-3</v>
      </c>
      <c r="I123" s="152">
        <f t="shared" ref="I123" si="160">$O$3</f>
        <v>0.10706953199940157</v>
      </c>
      <c r="K123" s="153">
        <f t="shared" ref="K123" si="161">B123*E123</f>
        <v>798.03765817014448</v>
      </c>
      <c r="L123" s="153">
        <f t="shared" ref="L123" si="162">B123*F123</f>
        <v>92.821780015374969</v>
      </c>
      <c r="M123" s="153">
        <f t="shared" ref="M123" si="163">B123*G123</f>
        <v>0</v>
      </c>
      <c r="N123" s="153">
        <f t="shared" ref="N123" si="164">B123*H123</f>
        <v>2.0710298150789832</v>
      </c>
      <c r="O123" s="153">
        <f t="shared" ref="O123" si="165">B123*I123</f>
        <v>107.06953199940158</v>
      </c>
      <c r="Q123" s="157">
        <f t="shared" si="98"/>
        <v>0</v>
      </c>
      <c r="S123" s="168" t="b">
        <f t="shared" si="97"/>
        <v>1</v>
      </c>
      <c r="T123" s="170" t="s">
        <v>247</v>
      </c>
      <c r="U123" s="172">
        <f>1000</f>
        <v>1000</v>
      </c>
    </row>
    <row r="124" spans="1:21" x14ac:dyDescent="0.2">
      <c r="A124" s="170" t="s">
        <v>248</v>
      </c>
      <c r="B124" s="173">
        <f>(B122)+(B123)</f>
        <v>1000</v>
      </c>
      <c r="E124" s="150" t="s">
        <v>305</v>
      </c>
      <c r="F124" s="150" t="s">
        <v>305</v>
      </c>
      <c r="G124" s="150" t="s">
        <v>305</v>
      </c>
      <c r="H124" s="150" t="s">
        <v>305</v>
      </c>
      <c r="I124" s="150" t="s">
        <v>305</v>
      </c>
      <c r="K124" s="150" t="s">
        <v>305</v>
      </c>
      <c r="L124" s="150" t="s">
        <v>305</v>
      </c>
      <c r="M124" s="150" t="s">
        <v>305</v>
      </c>
      <c r="N124" s="150" t="s">
        <v>305</v>
      </c>
      <c r="O124" s="150" t="s">
        <v>305</v>
      </c>
      <c r="Q124" s="157">
        <f t="shared" si="98"/>
        <v>-1000</v>
      </c>
      <c r="S124" s="168" t="b">
        <f t="shared" si="97"/>
        <v>1</v>
      </c>
      <c r="T124" s="170" t="s">
        <v>248</v>
      </c>
      <c r="U124" s="173">
        <f>(U122)+(U123)</f>
        <v>1000</v>
      </c>
    </row>
    <row r="125" spans="1:21" x14ac:dyDescent="0.2">
      <c r="A125" s="170" t="s">
        <v>249</v>
      </c>
      <c r="B125" s="171"/>
      <c r="Q125" s="157">
        <f t="shared" si="98"/>
        <v>0</v>
      </c>
      <c r="S125" s="168" t="b">
        <f t="shared" si="97"/>
        <v>1</v>
      </c>
      <c r="T125" s="170" t="s">
        <v>249</v>
      </c>
      <c r="U125" s="171"/>
    </row>
    <row r="126" spans="1:21" x14ac:dyDescent="0.2">
      <c r="A126" s="170" t="s">
        <v>250</v>
      </c>
      <c r="B126" s="172">
        <f>30000</f>
        <v>30000</v>
      </c>
      <c r="C126" s="151" t="s">
        <v>77</v>
      </c>
      <c r="E126" s="149">
        <f t="shared" ref="E126:E135" si="166">$H$3</f>
        <v>0.9015544041450777</v>
      </c>
      <c r="F126" s="149">
        <f t="shared" ref="F126:F135" si="167">$I$3</f>
        <v>9.8445595854922283E-2</v>
      </c>
      <c r="G126" s="149"/>
      <c r="H126" s="149"/>
      <c r="I126" s="149"/>
      <c r="K126" s="153">
        <f t="shared" ref="K126:K144" si="168">B126*E126</f>
        <v>27046.632124352331</v>
      </c>
      <c r="L126" s="153">
        <f t="shared" ref="L126:L144" si="169">B126*F126</f>
        <v>2953.3678756476684</v>
      </c>
      <c r="M126" s="153">
        <f t="shared" ref="M126:M144" si="170">B126*G126</f>
        <v>0</v>
      </c>
      <c r="N126" s="153">
        <f t="shared" ref="N126:N144" si="171">B126*H126</f>
        <v>0</v>
      </c>
      <c r="O126" s="153">
        <f t="shared" ref="O126:O144" si="172">B126*I126</f>
        <v>0</v>
      </c>
      <c r="Q126" s="157">
        <f t="shared" si="98"/>
        <v>0</v>
      </c>
      <c r="S126" s="168" t="b">
        <f t="shared" si="97"/>
        <v>1</v>
      </c>
      <c r="T126" s="170" t="s">
        <v>250</v>
      </c>
      <c r="U126" s="172">
        <f>30000</f>
        <v>30000</v>
      </c>
    </row>
    <row r="127" spans="1:21" x14ac:dyDescent="0.2">
      <c r="A127" s="170" t="s">
        <v>251</v>
      </c>
      <c r="B127" s="172">
        <f>15000</f>
        <v>15000</v>
      </c>
      <c r="C127" s="151" t="s">
        <v>77</v>
      </c>
      <c r="E127" s="149">
        <f t="shared" si="166"/>
        <v>0.9015544041450777</v>
      </c>
      <c r="F127" s="149">
        <f t="shared" si="167"/>
        <v>9.8445595854922283E-2</v>
      </c>
      <c r="G127" s="149"/>
      <c r="H127" s="149"/>
      <c r="I127" s="149"/>
      <c r="K127" s="153">
        <f t="shared" si="168"/>
        <v>13523.316062176165</v>
      </c>
      <c r="L127" s="153">
        <f t="shared" si="169"/>
        <v>1476.6839378238342</v>
      </c>
      <c r="M127" s="153">
        <f t="shared" si="170"/>
        <v>0</v>
      </c>
      <c r="N127" s="153">
        <f t="shared" si="171"/>
        <v>0</v>
      </c>
      <c r="O127" s="153">
        <f t="shared" si="172"/>
        <v>0</v>
      </c>
      <c r="Q127" s="157">
        <f t="shared" si="98"/>
        <v>0</v>
      </c>
      <c r="S127" s="168" t="b">
        <f t="shared" si="97"/>
        <v>1</v>
      </c>
      <c r="T127" s="170" t="s">
        <v>251</v>
      </c>
      <c r="U127" s="172">
        <f>15000</f>
        <v>15000</v>
      </c>
    </row>
    <row r="128" spans="1:21" x14ac:dyDescent="0.2">
      <c r="A128" s="170" t="s">
        <v>252</v>
      </c>
      <c r="B128" s="172">
        <f>30000</f>
        <v>30000</v>
      </c>
      <c r="C128" s="151" t="s">
        <v>77</v>
      </c>
      <c r="E128" s="149">
        <f t="shared" si="166"/>
        <v>0.9015544041450777</v>
      </c>
      <c r="F128" s="149">
        <f t="shared" si="167"/>
        <v>9.8445595854922283E-2</v>
      </c>
      <c r="G128" s="149"/>
      <c r="H128" s="149"/>
      <c r="I128" s="149"/>
      <c r="K128" s="153">
        <f t="shared" si="168"/>
        <v>27046.632124352331</v>
      </c>
      <c r="L128" s="153">
        <f t="shared" si="169"/>
        <v>2953.3678756476684</v>
      </c>
      <c r="M128" s="153">
        <f t="shared" si="170"/>
        <v>0</v>
      </c>
      <c r="N128" s="153">
        <f t="shared" si="171"/>
        <v>0</v>
      </c>
      <c r="O128" s="153">
        <f t="shared" si="172"/>
        <v>0</v>
      </c>
      <c r="Q128" s="157">
        <f t="shared" si="98"/>
        <v>0</v>
      </c>
      <c r="S128" s="168" t="b">
        <f t="shared" si="97"/>
        <v>1</v>
      </c>
      <c r="T128" s="170" t="s">
        <v>252</v>
      </c>
      <c r="U128" s="172">
        <f>30000</f>
        <v>30000</v>
      </c>
    </row>
    <row r="129" spans="1:21" x14ac:dyDescent="0.2">
      <c r="A129" s="170" t="s">
        <v>253</v>
      </c>
      <c r="B129" s="172">
        <f>10000</f>
        <v>10000</v>
      </c>
      <c r="C129" s="151" t="s">
        <v>77</v>
      </c>
      <c r="E129" s="149">
        <f t="shared" si="166"/>
        <v>0.9015544041450777</v>
      </c>
      <c r="F129" s="149">
        <f t="shared" si="167"/>
        <v>9.8445595854922283E-2</v>
      </c>
      <c r="G129" s="149"/>
      <c r="H129" s="149"/>
      <c r="I129" s="149"/>
      <c r="K129" s="153">
        <f t="shared" si="168"/>
        <v>9015.5440414507775</v>
      </c>
      <c r="L129" s="153">
        <f t="shared" si="169"/>
        <v>984.45595854922283</v>
      </c>
      <c r="M129" s="153">
        <f t="shared" si="170"/>
        <v>0</v>
      </c>
      <c r="N129" s="153">
        <f t="shared" si="171"/>
        <v>0</v>
      </c>
      <c r="O129" s="153">
        <f t="shared" si="172"/>
        <v>0</v>
      </c>
      <c r="Q129" s="157">
        <f t="shared" si="98"/>
        <v>0</v>
      </c>
      <c r="S129" s="168" t="b">
        <f t="shared" si="97"/>
        <v>1</v>
      </c>
      <c r="T129" s="170" t="s">
        <v>253</v>
      </c>
      <c r="U129" s="172">
        <f>10000</f>
        <v>10000</v>
      </c>
    </row>
    <row r="130" spans="1:21" x14ac:dyDescent="0.2">
      <c r="A130" s="170" t="s">
        <v>254</v>
      </c>
      <c r="B130" s="172">
        <f>1500</f>
        <v>1500</v>
      </c>
      <c r="C130" s="151" t="s">
        <v>77</v>
      </c>
      <c r="E130" s="149">
        <f t="shared" si="166"/>
        <v>0.9015544041450777</v>
      </c>
      <c r="F130" s="149">
        <f t="shared" si="167"/>
        <v>9.8445595854922283E-2</v>
      </c>
      <c r="G130" s="149"/>
      <c r="H130" s="149"/>
      <c r="I130" s="149"/>
      <c r="K130" s="153">
        <f t="shared" si="168"/>
        <v>1352.3316062176166</v>
      </c>
      <c r="L130" s="153">
        <f t="shared" si="169"/>
        <v>147.66839378238342</v>
      </c>
      <c r="M130" s="153">
        <f t="shared" si="170"/>
        <v>0</v>
      </c>
      <c r="N130" s="153">
        <f t="shared" si="171"/>
        <v>0</v>
      </c>
      <c r="O130" s="153">
        <f t="shared" si="172"/>
        <v>0</v>
      </c>
      <c r="Q130" s="157">
        <f t="shared" si="98"/>
        <v>0</v>
      </c>
      <c r="S130" s="168" t="b">
        <f t="shared" si="97"/>
        <v>1</v>
      </c>
      <c r="T130" s="170" t="s">
        <v>254</v>
      </c>
      <c r="U130" s="172">
        <f>1500</f>
        <v>1500</v>
      </c>
    </row>
    <row r="131" spans="1:21" x14ac:dyDescent="0.2">
      <c r="A131" s="170" t="s">
        <v>255</v>
      </c>
      <c r="B131" s="172">
        <f>15000</f>
        <v>15000</v>
      </c>
      <c r="C131" s="151" t="s">
        <v>77</v>
      </c>
      <c r="E131" s="149">
        <f t="shared" si="166"/>
        <v>0.9015544041450777</v>
      </c>
      <c r="F131" s="149">
        <f t="shared" si="167"/>
        <v>9.8445595854922283E-2</v>
      </c>
      <c r="G131" s="149"/>
      <c r="H131" s="149"/>
      <c r="I131" s="149"/>
      <c r="K131" s="153">
        <f t="shared" si="168"/>
        <v>13523.316062176165</v>
      </c>
      <c r="L131" s="153">
        <f t="shared" si="169"/>
        <v>1476.6839378238342</v>
      </c>
      <c r="M131" s="153">
        <f t="shared" si="170"/>
        <v>0</v>
      </c>
      <c r="N131" s="153">
        <f t="shared" si="171"/>
        <v>0</v>
      </c>
      <c r="O131" s="153">
        <f t="shared" si="172"/>
        <v>0</v>
      </c>
      <c r="Q131" s="157">
        <f t="shared" si="98"/>
        <v>0</v>
      </c>
      <c r="S131" s="168" t="b">
        <f t="shared" si="97"/>
        <v>1</v>
      </c>
      <c r="T131" s="170" t="s">
        <v>255</v>
      </c>
      <c r="U131" s="172">
        <f>15000</f>
        <v>15000</v>
      </c>
    </row>
    <row r="132" spans="1:21" x14ac:dyDescent="0.2">
      <c r="A132" s="170" t="s">
        <v>256</v>
      </c>
      <c r="B132" s="172">
        <f>15000</f>
        <v>15000</v>
      </c>
      <c r="C132" s="151" t="s">
        <v>83</v>
      </c>
      <c r="E132" s="149">
        <f t="shared" si="166"/>
        <v>0.9015544041450777</v>
      </c>
      <c r="F132" s="149">
        <f t="shared" si="167"/>
        <v>9.8445595854922283E-2</v>
      </c>
      <c r="G132" s="149"/>
      <c r="H132" s="149"/>
      <c r="I132" s="149"/>
      <c r="K132" s="153">
        <f t="shared" si="168"/>
        <v>13523.316062176165</v>
      </c>
      <c r="L132" s="153">
        <f t="shared" si="169"/>
        <v>1476.6839378238342</v>
      </c>
      <c r="M132" s="153">
        <f t="shared" si="170"/>
        <v>0</v>
      </c>
      <c r="N132" s="153">
        <f t="shared" si="171"/>
        <v>0</v>
      </c>
      <c r="O132" s="153">
        <f t="shared" si="172"/>
        <v>0</v>
      </c>
      <c r="Q132" s="157">
        <f t="shared" si="98"/>
        <v>0</v>
      </c>
      <c r="S132" s="168" t="b">
        <f t="shared" si="97"/>
        <v>1</v>
      </c>
      <c r="T132" s="170" t="s">
        <v>256</v>
      </c>
      <c r="U132" s="172">
        <f>15000</f>
        <v>15000</v>
      </c>
    </row>
    <row r="133" spans="1:21" x14ac:dyDescent="0.2">
      <c r="A133" s="170" t="s">
        <v>257</v>
      </c>
      <c r="B133" s="172">
        <f>20000</f>
        <v>20000</v>
      </c>
      <c r="C133" s="151" t="s">
        <v>84</v>
      </c>
      <c r="E133" s="149">
        <f t="shared" si="166"/>
        <v>0.9015544041450777</v>
      </c>
      <c r="F133" s="149">
        <f t="shared" si="167"/>
        <v>9.8445595854922283E-2</v>
      </c>
      <c r="G133" s="149"/>
      <c r="H133" s="149"/>
      <c r="I133" s="149"/>
      <c r="K133" s="153">
        <f t="shared" si="168"/>
        <v>18031.088082901555</v>
      </c>
      <c r="L133" s="153">
        <f t="shared" si="169"/>
        <v>1968.9119170984457</v>
      </c>
      <c r="M133" s="153">
        <f t="shared" si="170"/>
        <v>0</v>
      </c>
      <c r="N133" s="153">
        <f t="shared" si="171"/>
        <v>0</v>
      </c>
      <c r="O133" s="153">
        <f t="shared" si="172"/>
        <v>0</v>
      </c>
      <c r="Q133" s="157">
        <f t="shared" si="98"/>
        <v>0</v>
      </c>
      <c r="S133" s="168" t="b">
        <f t="shared" si="97"/>
        <v>1</v>
      </c>
      <c r="T133" s="170" t="s">
        <v>257</v>
      </c>
      <c r="U133" s="172">
        <f>20000</f>
        <v>20000</v>
      </c>
    </row>
    <row r="134" spans="1:21" x14ac:dyDescent="0.2">
      <c r="A134" s="170" t="s">
        <v>258</v>
      </c>
      <c r="B134" s="172">
        <f>50000</f>
        <v>50000</v>
      </c>
      <c r="C134" s="151" t="s">
        <v>77</v>
      </c>
      <c r="E134" s="149">
        <f t="shared" si="166"/>
        <v>0.9015544041450777</v>
      </c>
      <c r="F134" s="149">
        <f t="shared" si="167"/>
        <v>9.8445595854922283E-2</v>
      </c>
      <c r="G134" s="149"/>
      <c r="H134" s="149"/>
      <c r="I134" s="149"/>
      <c r="K134" s="153">
        <f t="shared" si="168"/>
        <v>45077.720207253886</v>
      </c>
      <c r="L134" s="153">
        <f t="shared" si="169"/>
        <v>4922.2797927461143</v>
      </c>
      <c r="M134" s="153">
        <f t="shared" si="170"/>
        <v>0</v>
      </c>
      <c r="N134" s="153">
        <f t="shared" si="171"/>
        <v>0</v>
      </c>
      <c r="O134" s="153">
        <f t="shared" si="172"/>
        <v>0</v>
      </c>
      <c r="Q134" s="157">
        <f t="shared" si="98"/>
        <v>0</v>
      </c>
      <c r="S134" s="168" t="b">
        <f t="shared" si="97"/>
        <v>1</v>
      </c>
      <c r="T134" s="170" t="s">
        <v>258</v>
      </c>
      <c r="U134" s="172">
        <f>50000</f>
        <v>50000</v>
      </c>
    </row>
    <row r="135" spans="1:21" x14ac:dyDescent="0.2">
      <c r="A135" s="170" t="s">
        <v>259</v>
      </c>
      <c r="B135" s="172">
        <f>3000</f>
        <v>3000</v>
      </c>
      <c r="C135" s="151" t="s">
        <v>77</v>
      </c>
      <c r="E135" s="149">
        <f t="shared" si="166"/>
        <v>0.9015544041450777</v>
      </c>
      <c r="F135" s="149">
        <f t="shared" si="167"/>
        <v>9.8445595854922283E-2</v>
      </c>
      <c r="G135" s="149"/>
      <c r="H135" s="149"/>
      <c r="I135" s="149"/>
      <c r="K135" s="153">
        <f t="shared" si="168"/>
        <v>2704.6632124352332</v>
      </c>
      <c r="L135" s="153">
        <f t="shared" si="169"/>
        <v>295.33678756476684</v>
      </c>
      <c r="M135" s="153">
        <f t="shared" si="170"/>
        <v>0</v>
      </c>
      <c r="N135" s="153">
        <f t="shared" si="171"/>
        <v>0</v>
      </c>
      <c r="O135" s="153">
        <f t="shared" si="172"/>
        <v>0</v>
      </c>
      <c r="Q135" s="157">
        <f t="shared" si="98"/>
        <v>0</v>
      </c>
      <c r="S135" s="168" t="b">
        <f t="shared" si="97"/>
        <v>1</v>
      </c>
      <c r="T135" s="170" t="s">
        <v>259</v>
      </c>
      <c r="U135" s="172">
        <f>3000</f>
        <v>3000</v>
      </c>
    </row>
    <row r="136" spans="1:21" x14ac:dyDescent="0.2">
      <c r="A136" s="170" t="s">
        <v>260</v>
      </c>
      <c r="B136" s="172">
        <f>5000</f>
        <v>5000</v>
      </c>
      <c r="C136" s="151" t="s">
        <v>77</v>
      </c>
      <c r="E136" s="149">
        <f t="shared" ref="E136:E144" si="173">$H$3</f>
        <v>0.9015544041450777</v>
      </c>
      <c r="F136" s="149">
        <f t="shared" ref="F136:F144" si="174">$I$3</f>
        <v>9.8445595854922283E-2</v>
      </c>
      <c r="G136" s="149"/>
      <c r="H136" s="149"/>
      <c r="I136" s="149"/>
      <c r="K136" s="153">
        <f t="shared" si="168"/>
        <v>4507.7720207253888</v>
      </c>
      <c r="L136" s="153">
        <f t="shared" si="169"/>
        <v>492.22797927461141</v>
      </c>
      <c r="M136" s="153">
        <f t="shared" si="170"/>
        <v>0</v>
      </c>
      <c r="N136" s="153">
        <f t="shared" si="171"/>
        <v>0</v>
      </c>
      <c r="O136" s="153">
        <f t="shared" si="172"/>
        <v>0</v>
      </c>
      <c r="Q136" s="157">
        <f t="shared" si="98"/>
        <v>0</v>
      </c>
      <c r="S136" s="168" t="b">
        <f t="shared" si="97"/>
        <v>1</v>
      </c>
      <c r="T136" s="170" t="s">
        <v>260</v>
      </c>
      <c r="U136" s="172">
        <f>5000</f>
        <v>5000</v>
      </c>
    </row>
    <row r="137" spans="1:21" x14ac:dyDescent="0.2">
      <c r="A137" s="170" t="s">
        <v>261</v>
      </c>
      <c r="B137" s="172">
        <f>5000</f>
        <v>5000</v>
      </c>
      <c r="C137" s="151" t="s">
        <v>77</v>
      </c>
      <c r="E137" s="149">
        <f t="shared" si="173"/>
        <v>0.9015544041450777</v>
      </c>
      <c r="F137" s="149">
        <f t="shared" si="174"/>
        <v>9.8445595854922283E-2</v>
      </c>
      <c r="G137" s="149"/>
      <c r="H137" s="149"/>
      <c r="I137" s="149"/>
      <c r="K137" s="153">
        <f t="shared" si="168"/>
        <v>4507.7720207253888</v>
      </c>
      <c r="L137" s="153">
        <f t="shared" si="169"/>
        <v>492.22797927461141</v>
      </c>
      <c r="M137" s="153">
        <f t="shared" si="170"/>
        <v>0</v>
      </c>
      <c r="N137" s="153">
        <f t="shared" si="171"/>
        <v>0</v>
      </c>
      <c r="O137" s="153">
        <f t="shared" si="172"/>
        <v>0</v>
      </c>
      <c r="Q137" s="157">
        <f t="shared" si="98"/>
        <v>0</v>
      </c>
      <c r="S137" s="168" t="b">
        <f t="shared" si="97"/>
        <v>1</v>
      </c>
      <c r="T137" s="170" t="s">
        <v>261</v>
      </c>
      <c r="U137" s="172">
        <f>5000</f>
        <v>5000</v>
      </c>
    </row>
    <row r="138" spans="1:21" x14ac:dyDescent="0.2">
      <c r="A138" s="170" t="s">
        <v>262</v>
      </c>
      <c r="B138" s="172">
        <f>4000</f>
        <v>4000</v>
      </c>
      <c r="C138" s="151" t="s">
        <v>77</v>
      </c>
      <c r="E138" s="149">
        <f t="shared" si="173"/>
        <v>0.9015544041450777</v>
      </c>
      <c r="F138" s="149">
        <f t="shared" si="174"/>
        <v>9.8445595854922283E-2</v>
      </c>
      <c r="G138" s="149"/>
      <c r="H138" s="149"/>
      <c r="I138" s="149"/>
      <c r="K138" s="153">
        <f t="shared" si="168"/>
        <v>3606.2176165803107</v>
      </c>
      <c r="L138" s="153">
        <f t="shared" si="169"/>
        <v>393.78238341968915</v>
      </c>
      <c r="M138" s="153">
        <f t="shared" si="170"/>
        <v>0</v>
      </c>
      <c r="N138" s="153">
        <f t="shared" si="171"/>
        <v>0</v>
      </c>
      <c r="O138" s="153">
        <f t="shared" si="172"/>
        <v>0</v>
      </c>
      <c r="Q138" s="157">
        <f t="shared" si="98"/>
        <v>0</v>
      </c>
      <c r="S138" s="168" t="b">
        <f t="shared" ref="S138:S167" si="175">T138=A138</f>
        <v>1</v>
      </c>
      <c r="T138" s="170" t="s">
        <v>262</v>
      </c>
      <c r="U138" s="172">
        <f>4000</f>
        <v>4000</v>
      </c>
    </row>
    <row r="139" spans="1:21" x14ac:dyDescent="0.2">
      <c r="A139" s="170" t="s">
        <v>263</v>
      </c>
      <c r="B139" s="172">
        <f>4000</f>
        <v>4000</v>
      </c>
      <c r="C139" s="151" t="s">
        <v>77</v>
      </c>
      <c r="E139" s="149">
        <f t="shared" si="173"/>
        <v>0.9015544041450777</v>
      </c>
      <c r="F139" s="149">
        <f t="shared" si="174"/>
        <v>9.8445595854922283E-2</v>
      </c>
      <c r="G139" s="149"/>
      <c r="H139" s="149"/>
      <c r="I139" s="149"/>
      <c r="K139" s="153">
        <f t="shared" si="168"/>
        <v>3606.2176165803107</v>
      </c>
      <c r="L139" s="153">
        <f t="shared" si="169"/>
        <v>393.78238341968915</v>
      </c>
      <c r="M139" s="153">
        <f t="shared" si="170"/>
        <v>0</v>
      </c>
      <c r="N139" s="153">
        <f t="shared" si="171"/>
        <v>0</v>
      </c>
      <c r="O139" s="153">
        <f t="shared" si="172"/>
        <v>0</v>
      </c>
      <c r="Q139" s="157">
        <f t="shared" si="98"/>
        <v>0</v>
      </c>
      <c r="S139" s="168" t="b">
        <f t="shared" si="175"/>
        <v>1</v>
      </c>
      <c r="T139" s="170" t="s">
        <v>263</v>
      </c>
      <c r="U139" s="172">
        <f>4000</f>
        <v>4000</v>
      </c>
    </row>
    <row r="140" spans="1:21" x14ac:dyDescent="0.2">
      <c r="A140" s="170" t="s">
        <v>264</v>
      </c>
      <c r="B140" s="172">
        <f>21744.8</f>
        <v>21744.799999999999</v>
      </c>
      <c r="C140" s="151" t="s">
        <v>79</v>
      </c>
      <c r="E140" s="149">
        <f t="shared" si="173"/>
        <v>0.9015544041450777</v>
      </c>
      <c r="F140" s="149">
        <f t="shared" si="174"/>
        <v>9.8445595854922283E-2</v>
      </c>
      <c r="G140" s="149"/>
      <c r="H140" s="149"/>
      <c r="I140" s="149"/>
      <c r="K140" s="153">
        <f t="shared" si="168"/>
        <v>19604.120207253884</v>
      </c>
      <c r="L140" s="153">
        <f t="shared" si="169"/>
        <v>2140.6797927461139</v>
      </c>
      <c r="M140" s="153">
        <f t="shared" si="170"/>
        <v>0</v>
      </c>
      <c r="N140" s="153">
        <f t="shared" si="171"/>
        <v>0</v>
      </c>
      <c r="O140" s="153">
        <f t="shared" si="172"/>
        <v>0</v>
      </c>
      <c r="Q140" s="157">
        <f t="shared" si="98"/>
        <v>0</v>
      </c>
      <c r="S140" s="168" t="b">
        <f t="shared" si="175"/>
        <v>1</v>
      </c>
      <c r="T140" s="170" t="s">
        <v>264</v>
      </c>
      <c r="U140" s="172">
        <f>21744.8</f>
        <v>21744.799999999999</v>
      </c>
    </row>
    <row r="141" spans="1:21" x14ac:dyDescent="0.2">
      <c r="A141" s="170" t="s">
        <v>265</v>
      </c>
      <c r="B141" s="172">
        <f>5577.4</f>
        <v>5577.4</v>
      </c>
      <c r="C141" s="151" t="s">
        <v>79</v>
      </c>
      <c r="E141" s="149">
        <f t="shared" si="173"/>
        <v>0.9015544041450777</v>
      </c>
      <c r="F141" s="149">
        <f t="shared" si="174"/>
        <v>9.8445595854922283E-2</v>
      </c>
      <c r="G141" s="149"/>
      <c r="H141" s="149"/>
      <c r="I141" s="149"/>
      <c r="K141" s="153">
        <f t="shared" si="168"/>
        <v>5028.329533678756</v>
      </c>
      <c r="L141" s="153">
        <f t="shared" si="169"/>
        <v>549.07046632124354</v>
      </c>
      <c r="M141" s="153">
        <f t="shared" si="170"/>
        <v>0</v>
      </c>
      <c r="N141" s="153">
        <f t="shared" si="171"/>
        <v>0</v>
      </c>
      <c r="O141" s="153">
        <f t="shared" si="172"/>
        <v>0</v>
      </c>
      <c r="Q141" s="157">
        <f t="shared" si="98"/>
        <v>0</v>
      </c>
      <c r="S141" s="168" t="b">
        <f t="shared" si="175"/>
        <v>1</v>
      </c>
      <c r="T141" s="170" t="s">
        <v>265</v>
      </c>
      <c r="U141" s="172">
        <f>5577.4</f>
        <v>5577.4</v>
      </c>
    </row>
    <row r="142" spans="1:21" x14ac:dyDescent="0.2">
      <c r="A142" s="170" t="s">
        <v>266</v>
      </c>
      <c r="B142" s="172">
        <f>2329.8</f>
        <v>2329.8000000000002</v>
      </c>
      <c r="C142" s="151" t="s">
        <v>79</v>
      </c>
      <c r="E142" s="149">
        <f t="shared" si="173"/>
        <v>0.9015544041450777</v>
      </c>
      <c r="F142" s="149">
        <f t="shared" si="174"/>
        <v>9.8445595854922283E-2</v>
      </c>
      <c r="G142" s="149"/>
      <c r="H142" s="149"/>
      <c r="I142" s="149"/>
      <c r="K142" s="153">
        <f t="shared" si="168"/>
        <v>2100.4414507772021</v>
      </c>
      <c r="L142" s="153">
        <f t="shared" si="169"/>
        <v>229.35854922279796</v>
      </c>
      <c r="M142" s="153">
        <f t="shared" si="170"/>
        <v>0</v>
      </c>
      <c r="N142" s="153">
        <f t="shared" si="171"/>
        <v>0</v>
      </c>
      <c r="O142" s="153">
        <f t="shared" si="172"/>
        <v>0</v>
      </c>
      <c r="Q142" s="157">
        <f t="shared" si="98"/>
        <v>0</v>
      </c>
      <c r="S142" s="168" t="b">
        <f t="shared" si="175"/>
        <v>1</v>
      </c>
      <c r="T142" s="170" t="s">
        <v>266</v>
      </c>
      <c r="U142" s="172">
        <f>2329.8</f>
        <v>2329.8000000000002</v>
      </c>
    </row>
    <row r="143" spans="1:21" x14ac:dyDescent="0.2">
      <c r="A143" s="170" t="s">
        <v>267</v>
      </c>
      <c r="B143" s="172">
        <f>2000</f>
        <v>2000</v>
      </c>
      <c r="C143" s="151" t="s">
        <v>86</v>
      </c>
      <c r="E143" s="149">
        <f t="shared" si="173"/>
        <v>0.9015544041450777</v>
      </c>
      <c r="F143" s="149">
        <f t="shared" si="174"/>
        <v>9.8445595854922283E-2</v>
      </c>
      <c r="G143" s="149"/>
      <c r="H143" s="149"/>
      <c r="I143" s="149"/>
      <c r="K143" s="153">
        <f t="shared" si="168"/>
        <v>1803.1088082901554</v>
      </c>
      <c r="L143" s="153">
        <f t="shared" si="169"/>
        <v>196.89119170984458</v>
      </c>
      <c r="M143" s="153">
        <f t="shared" si="170"/>
        <v>0</v>
      </c>
      <c r="N143" s="153">
        <f t="shared" si="171"/>
        <v>0</v>
      </c>
      <c r="O143" s="153">
        <f t="shared" si="172"/>
        <v>0</v>
      </c>
      <c r="Q143" s="157">
        <f t="shared" si="98"/>
        <v>0</v>
      </c>
      <c r="S143" s="168" t="b">
        <f t="shared" si="175"/>
        <v>1</v>
      </c>
      <c r="T143" s="170" t="s">
        <v>267</v>
      </c>
      <c r="U143" s="172">
        <f>2000</f>
        <v>2000</v>
      </c>
    </row>
    <row r="144" spans="1:21" x14ac:dyDescent="0.2">
      <c r="A144" s="170" t="s">
        <v>268</v>
      </c>
      <c r="B144" s="172">
        <f>2000</f>
        <v>2000</v>
      </c>
      <c r="C144" s="151" t="s">
        <v>86</v>
      </c>
      <c r="E144" s="149">
        <f t="shared" si="173"/>
        <v>0.9015544041450777</v>
      </c>
      <c r="F144" s="149">
        <f t="shared" si="174"/>
        <v>9.8445595854922283E-2</v>
      </c>
      <c r="G144" s="149"/>
      <c r="H144" s="149"/>
      <c r="I144" s="149"/>
      <c r="K144" s="153">
        <f t="shared" si="168"/>
        <v>1803.1088082901554</v>
      </c>
      <c r="L144" s="153">
        <f t="shared" si="169"/>
        <v>196.89119170984458</v>
      </c>
      <c r="M144" s="153">
        <f t="shared" si="170"/>
        <v>0</v>
      </c>
      <c r="N144" s="153">
        <f t="shared" si="171"/>
        <v>0</v>
      </c>
      <c r="O144" s="153">
        <f t="shared" si="172"/>
        <v>0</v>
      </c>
      <c r="Q144" s="157">
        <f t="shared" ref="Q144:Q164" si="176">SUM(K144:P144)-B144</f>
        <v>0</v>
      </c>
      <c r="S144" s="168" t="b">
        <f t="shared" si="175"/>
        <v>1</v>
      </c>
      <c r="T144" s="170" t="s">
        <v>268</v>
      </c>
      <c r="U144" s="172">
        <f>2000</f>
        <v>2000</v>
      </c>
    </row>
    <row r="145" spans="1:21" x14ac:dyDescent="0.2">
      <c r="A145" s="170" t="s">
        <v>269</v>
      </c>
      <c r="B145" s="173">
        <f>(((((((((((((((((((B125)+(B126))+(B127))+(B128))+(B129))+(B130))+(B131))+(B132))+(B133))+(B134))+(B135))+(B136))+(B137))+(B138))+(B139))+(B140))+(B141))+(B142))+(B143))+(B144)</f>
        <v>241151.99999999997</v>
      </c>
      <c r="E145" s="150" t="s">
        <v>305</v>
      </c>
      <c r="F145" s="150" t="s">
        <v>305</v>
      </c>
      <c r="G145" s="150" t="s">
        <v>305</v>
      </c>
      <c r="H145" s="150" t="s">
        <v>305</v>
      </c>
      <c r="I145" s="150" t="s">
        <v>305</v>
      </c>
      <c r="K145" s="150" t="s">
        <v>305</v>
      </c>
      <c r="L145" s="150" t="s">
        <v>305</v>
      </c>
      <c r="M145" s="150" t="s">
        <v>305</v>
      </c>
      <c r="N145" s="150" t="s">
        <v>305</v>
      </c>
      <c r="O145" s="150" t="s">
        <v>305</v>
      </c>
      <c r="Q145" s="157">
        <f t="shared" si="176"/>
        <v>-241151.99999999997</v>
      </c>
      <c r="S145" s="168" t="b">
        <f t="shared" si="175"/>
        <v>1</v>
      </c>
      <c r="T145" s="170" t="s">
        <v>269</v>
      </c>
      <c r="U145" s="173">
        <f>(((((((((((((((((((U125)+(U126))+(U127))+(U128))+(U129))+(U130))+(U131))+(U132))+(U133))+(U134))+(U135))+(U136))+(U137))+(U138))+(U139))+(U140))+(U141))+(U142))+(U143))+(U144)</f>
        <v>241151.99999999997</v>
      </c>
    </row>
    <row r="146" spans="1:21" x14ac:dyDescent="0.2">
      <c r="A146" s="170" t="s">
        <v>270</v>
      </c>
      <c r="B146" s="171"/>
      <c r="Q146" s="157">
        <f t="shared" si="176"/>
        <v>0</v>
      </c>
      <c r="S146" s="168" t="b">
        <f t="shared" si="175"/>
        <v>1</v>
      </c>
      <c r="T146" s="170" t="s">
        <v>270</v>
      </c>
      <c r="U146" s="171"/>
    </row>
    <row r="147" spans="1:21" x14ac:dyDescent="0.2">
      <c r="A147" s="170" t="s">
        <v>271</v>
      </c>
      <c r="B147" s="172">
        <f>720000</f>
        <v>720000</v>
      </c>
      <c r="C147" s="151" t="s">
        <v>97</v>
      </c>
      <c r="E147" s="152">
        <f t="shared" ref="E147:E153" si="177">$K$3</f>
        <v>0.79803765817014449</v>
      </c>
      <c r="F147" s="152">
        <f t="shared" ref="F147:F153" si="178">$L$3</f>
        <v>9.2821780015374972E-2</v>
      </c>
      <c r="G147" s="152">
        <f t="shared" ref="G147:G153" si="179">$M$3</f>
        <v>0</v>
      </c>
      <c r="H147" s="152">
        <f t="shared" ref="H147:H153" si="180">$N$3</f>
        <v>2.0710298150789833E-3</v>
      </c>
      <c r="I147" s="152">
        <f t="shared" ref="I147:I153" si="181">$O$3</f>
        <v>0.10706953199940157</v>
      </c>
      <c r="K147" s="153">
        <f t="shared" ref="K147:K153" si="182">B147*E147</f>
        <v>574587.11388250405</v>
      </c>
      <c r="L147" s="153">
        <f t="shared" ref="L147:L153" si="183">B147*F147</f>
        <v>66831.681611069973</v>
      </c>
      <c r="M147" s="153">
        <f t="shared" ref="M147:M153" si="184">B147*G147</f>
        <v>0</v>
      </c>
      <c r="N147" s="153">
        <f t="shared" ref="N147:N153" si="185">B147*H147</f>
        <v>1491.141466856868</v>
      </c>
      <c r="O147" s="153">
        <f t="shared" ref="O147:O153" si="186">B147*I147</f>
        <v>77090.063039569126</v>
      </c>
      <c r="Q147" s="157">
        <f t="shared" si="176"/>
        <v>0</v>
      </c>
      <c r="S147" s="168" t="b">
        <f t="shared" si="175"/>
        <v>1</v>
      </c>
      <c r="T147" s="170" t="s">
        <v>271</v>
      </c>
      <c r="U147" s="172">
        <f>720000</f>
        <v>720000</v>
      </c>
    </row>
    <row r="148" spans="1:21" x14ac:dyDescent="0.2">
      <c r="A148" s="170" t="s">
        <v>272</v>
      </c>
      <c r="B148" s="172">
        <f>311099.85</f>
        <v>311099.84999999998</v>
      </c>
      <c r="C148" s="151" t="s">
        <v>97</v>
      </c>
      <c r="E148" s="152">
        <f t="shared" si="177"/>
        <v>0.79803765817014449</v>
      </c>
      <c r="F148" s="152">
        <f t="shared" si="178"/>
        <v>9.2821780015374972E-2</v>
      </c>
      <c r="G148" s="152">
        <f t="shared" si="179"/>
        <v>0</v>
      </c>
      <c r="H148" s="152">
        <f t="shared" si="180"/>
        <v>2.0710298150789833E-3</v>
      </c>
      <c r="I148" s="152">
        <f t="shared" si="181"/>
        <v>0.10706953199940157</v>
      </c>
      <c r="K148" s="153">
        <f t="shared" si="182"/>
        <v>248269.39575108321</v>
      </c>
      <c r="L148" s="153">
        <f t="shared" si="183"/>
        <v>28876.84183951615</v>
      </c>
      <c r="M148" s="153">
        <f t="shared" si="184"/>
        <v>0</v>
      </c>
      <c r="N148" s="153">
        <f t="shared" si="185"/>
        <v>644.29706481659935</v>
      </c>
      <c r="O148" s="153">
        <f t="shared" si="186"/>
        <v>33309.315344584029</v>
      </c>
      <c r="Q148" s="157">
        <f t="shared" si="176"/>
        <v>0</v>
      </c>
      <c r="S148" s="168" t="b">
        <f t="shared" si="175"/>
        <v>1</v>
      </c>
      <c r="T148" s="170" t="s">
        <v>272</v>
      </c>
      <c r="U148" s="172">
        <f>311099.85</f>
        <v>311099.84999999998</v>
      </c>
    </row>
    <row r="149" spans="1:21" x14ac:dyDescent="0.2">
      <c r="A149" s="170" t="s">
        <v>273</v>
      </c>
      <c r="B149" s="172">
        <f>25000</f>
        <v>25000</v>
      </c>
      <c r="C149" s="151" t="s">
        <v>99</v>
      </c>
      <c r="E149" s="152">
        <f t="shared" si="177"/>
        <v>0.79803765817014449</v>
      </c>
      <c r="F149" s="152">
        <f t="shared" si="178"/>
        <v>9.2821780015374972E-2</v>
      </c>
      <c r="G149" s="152">
        <f t="shared" si="179"/>
        <v>0</v>
      </c>
      <c r="H149" s="152">
        <f t="shared" si="180"/>
        <v>2.0710298150789833E-3</v>
      </c>
      <c r="I149" s="152">
        <f t="shared" si="181"/>
        <v>0.10706953199940157</v>
      </c>
      <c r="K149" s="153">
        <f t="shared" si="182"/>
        <v>19950.941454253611</v>
      </c>
      <c r="L149" s="153">
        <f t="shared" si="183"/>
        <v>2320.5445003843743</v>
      </c>
      <c r="M149" s="153">
        <f t="shared" si="184"/>
        <v>0</v>
      </c>
      <c r="N149" s="153">
        <f t="shared" si="185"/>
        <v>51.775745376974584</v>
      </c>
      <c r="O149" s="153">
        <f t="shared" si="186"/>
        <v>2676.7382999850392</v>
      </c>
      <c r="Q149" s="157">
        <f t="shared" si="176"/>
        <v>0</v>
      </c>
      <c r="S149" s="168" t="b">
        <f t="shared" si="175"/>
        <v>1</v>
      </c>
      <c r="T149" s="170" t="s">
        <v>273</v>
      </c>
      <c r="U149" s="172">
        <f>25000</f>
        <v>25000</v>
      </c>
    </row>
    <row r="150" spans="1:21" x14ac:dyDescent="0.2">
      <c r="A150" s="170" t="s">
        <v>274</v>
      </c>
      <c r="B150" s="172">
        <f>15000</f>
        <v>15000</v>
      </c>
      <c r="C150" s="151" t="s">
        <v>99</v>
      </c>
      <c r="E150" s="152">
        <f t="shared" si="177"/>
        <v>0.79803765817014449</v>
      </c>
      <c r="F150" s="152">
        <f t="shared" si="178"/>
        <v>9.2821780015374972E-2</v>
      </c>
      <c r="G150" s="152">
        <f t="shared" si="179"/>
        <v>0</v>
      </c>
      <c r="H150" s="152">
        <f t="shared" si="180"/>
        <v>2.0710298150789833E-3</v>
      </c>
      <c r="I150" s="152">
        <f t="shared" si="181"/>
        <v>0.10706953199940157</v>
      </c>
      <c r="K150" s="153">
        <f t="shared" si="182"/>
        <v>11970.564872552168</v>
      </c>
      <c r="L150" s="153">
        <f t="shared" si="183"/>
        <v>1392.3267002306245</v>
      </c>
      <c r="M150" s="153">
        <f t="shared" si="184"/>
        <v>0</v>
      </c>
      <c r="N150" s="153">
        <f t="shared" si="185"/>
        <v>31.065447226184748</v>
      </c>
      <c r="O150" s="153">
        <f t="shared" si="186"/>
        <v>1606.0429799910235</v>
      </c>
      <c r="Q150" s="157">
        <f t="shared" si="176"/>
        <v>0</v>
      </c>
      <c r="S150" s="168" t="b">
        <f t="shared" si="175"/>
        <v>1</v>
      </c>
      <c r="T150" s="170" t="s">
        <v>274</v>
      </c>
      <c r="U150" s="172">
        <f>15000</f>
        <v>15000</v>
      </c>
    </row>
    <row r="151" spans="1:21" x14ac:dyDescent="0.2">
      <c r="A151" s="170" t="s">
        <v>275</v>
      </c>
      <c r="B151" s="172">
        <f>8000</f>
        <v>8000</v>
      </c>
      <c r="C151" s="151" t="s">
        <v>96</v>
      </c>
      <c r="E151" s="152">
        <f t="shared" si="177"/>
        <v>0.79803765817014449</v>
      </c>
      <c r="F151" s="152">
        <f t="shared" si="178"/>
        <v>9.2821780015374972E-2</v>
      </c>
      <c r="G151" s="152">
        <f t="shared" si="179"/>
        <v>0</v>
      </c>
      <c r="H151" s="152">
        <f t="shared" si="180"/>
        <v>2.0710298150789833E-3</v>
      </c>
      <c r="I151" s="152">
        <f t="shared" si="181"/>
        <v>0.10706953199940157</v>
      </c>
      <c r="K151" s="153">
        <f t="shared" si="182"/>
        <v>6384.3012653611559</v>
      </c>
      <c r="L151" s="153">
        <f t="shared" si="183"/>
        <v>742.57424012299975</v>
      </c>
      <c r="M151" s="153">
        <f t="shared" si="184"/>
        <v>0</v>
      </c>
      <c r="N151" s="153">
        <f t="shared" si="185"/>
        <v>16.568238520631866</v>
      </c>
      <c r="O151" s="153">
        <f t="shared" si="186"/>
        <v>856.55625599521261</v>
      </c>
      <c r="Q151" s="157">
        <f t="shared" si="176"/>
        <v>0</v>
      </c>
      <c r="S151" s="168" t="b">
        <f t="shared" si="175"/>
        <v>1</v>
      </c>
      <c r="T151" s="170" t="s">
        <v>275</v>
      </c>
      <c r="U151" s="172">
        <f>8000</f>
        <v>8000</v>
      </c>
    </row>
    <row r="152" spans="1:21" x14ac:dyDescent="0.2">
      <c r="A152" s="170" t="s">
        <v>276</v>
      </c>
      <c r="B152" s="172">
        <f>75000</f>
        <v>75000</v>
      </c>
      <c r="C152" s="151" t="s">
        <v>309</v>
      </c>
      <c r="E152" s="152">
        <f t="shared" si="177"/>
        <v>0.79803765817014449</v>
      </c>
      <c r="F152" s="152">
        <f t="shared" si="178"/>
        <v>9.2821780015374972E-2</v>
      </c>
      <c r="G152" s="152">
        <f t="shared" si="179"/>
        <v>0</v>
      </c>
      <c r="H152" s="152">
        <f t="shared" si="180"/>
        <v>2.0710298150789833E-3</v>
      </c>
      <c r="I152" s="152">
        <f t="shared" si="181"/>
        <v>0.10706953199940157</v>
      </c>
      <c r="K152" s="153">
        <f t="shared" si="182"/>
        <v>59852.824362760839</v>
      </c>
      <c r="L152" s="153">
        <f t="shared" si="183"/>
        <v>6961.6335011531228</v>
      </c>
      <c r="M152" s="153">
        <f t="shared" si="184"/>
        <v>0</v>
      </c>
      <c r="N152" s="153">
        <f t="shared" si="185"/>
        <v>155.32723613092375</v>
      </c>
      <c r="O152" s="153">
        <f t="shared" si="186"/>
        <v>8030.2148999551182</v>
      </c>
      <c r="Q152" s="157">
        <f t="shared" si="176"/>
        <v>0</v>
      </c>
      <c r="S152" s="168" t="b">
        <f t="shared" si="175"/>
        <v>1</v>
      </c>
      <c r="T152" s="170" t="s">
        <v>276</v>
      </c>
      <c r="U152" s="172">
        <f>75000</f>
        <v>75000</v>
      </c>
    </row>
    <row r="153" spans="1:21" x14ac:dyDescent="0.2">
      <c r="A153" s="170" t="s">
        <v>277</v>
      </c>
      <c r="B153" s="172">
        <f>35000</f>
        <v>35000</v>
      </c>
      <c r="C153" s="151" t="s">
        <v>98</v>
      </c>
      <c r="E153" s="152">
        <f t="shared" si="177"/>
        <v>0.79803765817014449</v>
      </c>
      <c r="F153" s="152">
        <f t="shared" si="178"/>
        <v>9.2821780015374972E-2</v>
      </c>
      <c r="G153" s="152">
        <f t="shared" si="179"/>
        <v>0</v>
      </c>
      <c r="H153" s="152">
        <f t="shared" si="180"/>
        <v>2.0710298150789833E-3</v>
      </c>
      <c r="I153" s="152">
        <f t="shared" si="181"/>
        <v>0.10706953199940157</v>
      </c>
      <c r="K153" s="153">
        <f t="shared" si="182"/>
        <v>27931.318035955057</v>
      </c>
      <c r="L153" s="153">
        <f t="shared" si="183"/>
        <v>3248.7623005381242</v>
      </c>
      <c r="M153" s="153">
        <f t="shared" si="184"/>
        <v>0</v>
      </c>
      <c r="N153" s="153">
        <f t="shared" si="185"/>
        <v>72.486043527764423</v>
      </c>
      <c r="O153" s="153">
        <f t="shared" si="186"/>
        <v>3747.433619979055</v>
      </c>
      <c r="Q153" s="157">
        <f t="shared" si="176"/>
        <v>0</v>
      </c>
      <c r="S153" s="168" t="b">
        <f t="shared" si="175"/>
        <v>1</v>
      </c>
      <c r="T153" s="170" t="s">
        <v>277</v>
      </c>
      <c r="U153" s="172">
        <f>35000</f>
        <v>35000</v>
      </c>
    </row>
    <row r="154" spans="1:21" x14ac:dyDescent="0.2">
      <c r="A154" s="170" t="s">
        <v>278</v>
      </c>
      <c r="B154" s="173">
        <f>(((((((B146)+(B147))+(B148))+(B149))+(B150))+(B151))+(B152))+(B153)</f>
        <v>1189099.8500000001</v>
      </c>
      <c r="E154" s="150" t="s">
        <v>305</v>
      </c>
      <c r="F154" s="150" t="s">
        <v>305</v>
      </c>
      <c r="G154" s="150" t="s">
        <v>305</v>
      </c>
      <c r="H154" s="150" t="s">
        <v>305</v>
      </c>
      <c r="I154" s="150" t="s">
        <v>305</v>
      </c>
      <c r="K154" s="150" t="s">
        <v>305</v>
      </c>
      <c r="L154" s="150" t="s">
        <v>305</v>
      </c>
      <c r="M154" s="150" t="s">
        <v>305</v>
      </c>
      <c r="N154" s="150" t="s">
        <v>305</v>
      </c>
      <c r="O154" s="150" t="s">
        <v>305</v>
      </c>
      <c r="Q154" s="157">
        <f t="shared" si="176"/>
        <v>-1189099.8500000001</v>
      </c>
      <c r="S154" s="168" t="b">
        <f t="shared" si="175"/>
        <v>1</v>
      </c>
      <c r="T154" s="170" t="s">
        <v>278</v>
      </c>
      <c r="U154" s="173">
        <f>(((((((U146)+(U147))+(U148))+(U149))+(U150))+(U151))+(U152))+(U153)</f>
        <v>1189099.8500000001</v>
      </c>
    </row>
    <row r="155" spans="1:21" x14ac:dyDescent="0.2">
      <c r="A155" s="170" t="s">
        <v>279</v>
      </c>
      <c r="B155" s="171"/>
      <c r="Q155" s="157">
        <f t="shared" si="176"/>
        <v>0</v>
      </c>
      <c r="S155" s="168" t="b">
        <f t="shared" si="175"/>
        <v>1</v>
      </c>
      <c r="T155" s="170" t="s">
        <v>279</v>
      </c>
      <c r="U155" s="171"/>
    </row>
    <row r="156" spans="1:21" x14ac:dyDescent="0.2">
      <c r="A156" s="170" t="s">
        <v>280</v>
      </c>
      <c r="B156" s="172">
        <f>12000</f>
        <v>12000</v>
      </c>
      <c r="C156" s="151" t="s">
        <v>81</v>
      </c>
      <c r="E156" s="152">
        <f t="shared" ref="E156:E164" si="187">$K$3</f>
        <v>0.79803765817014449</v>
      </c>
      <c r="F156" s="152">
        <f t="shared" ref="F156:F164" si="188">$L$3</f>
        <v>9.2821780015374972E-2</v>
      </c>
      <c r="G156" s="152">
        <f t="shared" ref="G156:G164" si="189">$M$3</f>
        <v>0</v>
      </c>
      <c r="H156" s="152">
        <f t="shared" ref="H156:H164" si="190">$N$3</f>
        <v>2.0710298150789833E-3</v>
      </c>
      <c r="I156" s="152">
        <f t="shared" ref="I156:I164" si="191">$O$3</f>
        <v>0.10706953199940157</v>
      </c>
      <c r="K156" s="153">
        <f t="shared" ref="K156:K162" si="192">B156*E156</f>
        <v>9576.4518980417342</v>
      </c>
      <c r="L156" s="153">
        <f t="shared" ref="L156:L162" si="193">B156*F156</f>
        <v>1113.8613601844997</v>
      </c>
      <c r="M156" s="153">
        <f t="shared" ref="M156:M162" si="194">B156*G156</f>
        <v>0</v>
      </c>
      <c r="N156" s="153">
        <f t="shared" ref="N156:N162" si="195">B156*H156</f>
        <v>24.852357780947798</v>
      </c>
      <c r="O156" s="153">
        <f t="shared" ref="O156:O162" si="196">B156*I156</f>
        <v>1284.8343839928189</v>
      </c>
      <c r="Q156" s="157">
        <f t="shared" si="176"/>
        <v>0</v>
      </c>
      <c r="S156" s="168" t="b">
        <f t="shared" si="175"/>
        <v>1</v>
      </c>
      <c r="T156" s="170" t="s">
        <v>280</v>
      </c>
      <c r="U156" s="172">
        <f>12000</f>
        <v>12000</v>
      </c>
    </row>
    <row r="157" spans="1:21" x14ac:dyDescent="0.2">
      <c r="A157" s="170" t="s">
        <v>281</v>
      </c>
      <c r="B157" s="172">
        <f>2400</f>
        <v>2400</v>
      </c>
      <c r="C157" s="151" t="s">
        <v>81</v>
      </c>
      <c r="E157" s="152">
        <f t="shared" si="187"/>
        <v>0.79803765817014449</v>
      </c>
      <c r="F157" s="152">
        <f t="shared" si="188"/>
        <v>9.2821780015374972E-2</v>
      </c>
      <c r="G157" s="152">
        <f t="shared" si="189"/>
        <v>0</v>
      </c>
      <c r="H157" s="152">
        <f t="shared" si="190"/>
        <v>2.0710298150789833E-3</v>
      </c>
      <c r="I157" s="152">
        <f t="shared" si="191"/>
        <v>0.10706953199940157</v>
      </c>
      <c r="K157" s="153">
        <f t="shared" si="192"/>
        <v>1915.2903796083467</v>
      </c>
      <c r="L157" s="153">
        <f t="shared" si="193"/>
        <v>222.77227203689992</v>
      </c>
      <c r="M157" s="153">
        <f t="shared" si="194"/>
        <v>0</v>
      </c>
      <c r="N157" s="153">
        <f t="shared" si="195"/>
        <v>4.97047155618956</v>
      </c>
      <c r="O157" s="153">
        <f t="shared" si="196"/>
        <v>256.96687679856376</v>
      </c>
      <c r="Q157" s="157">
        <f t="shared" si="176"/>
        <v>0</v>
      </c>
      <c r="S157" s="168" t="b">
        <f t="shared" si="175"/>
        <v>1</v>
      </c>
      <c r="T157" s="170" t="s">
        <v>281</v>
      </c>
      <c r="U157" s="172">
        <f>2400</f>
        <v>2400</v>
      </c>
    </row>
    <row r="158" spans="1:21" x14ac:dyDescent="0.2">
      <c r="A158" s="170" t="s">
        <v>282</v>
      </c>
      <c r="B158" s="172">
        <f>30000</f>
        <v>30000</v>
      </c>
      <c r="C158" s="151" t="s">
        <v>82</v>
      </c>
      <c r="E158" s="152">
        <f t="shared" si="187"/>
        <v>0.79803765817014449</v>
      </c>
      <c r="F158" s="152">
        <f t="shared" si="188"/>
        <v>9.2821780015374972E-2</v>
      </c>
      <c r="G158" s="152">
        <f t="shared" si="189"/>
        <v>0</v>
      </c>
      <c r="H158" s="152">
        <f t="shared" si="190"/>
        <v>2.0710298150789833E-3</v>
      </c>
      <c r="I158" s="152">
        <f t="shared" si="191"/>
        <v>0.10706953199940157</v>
      </c>
      <c r="K158" s="153">
        <f t="shared" si="192"/>
        <v>23941.129745104336</v>
      </c>
      <c r="L158" s="153">
        <f t="shared" si="193"/>
        <v>2784.653400461249</v>
      </c>
      <c r="M158" s="153">
        <f t="shared" si="194"/>
        <v>0</v>
      </c>
      <c r="N158" s="153">
        <f t="shared" si="195"/>
        <v>62.130894452369496</v>
      </c>
      <c r="O158" s="153">
        <f t="shared" si="196"/>
        <v>3212.0859599820469</v>
      </c>
      <c r="Q158" s="157">
        <f t="shared" si="176"/>
        <v>0</v>
      </c>
      <c r="S158" s="168" t="b">
        <f t="shared" si="175"/>
        <v>1</v>
      </c>
      <c r="T158" s="170" t="s">
        <v>282</v>
      </c>
      <c r="U158" s="172">
        <f>30000</f>
        <v>30000</v>
      </c>
    </row>
    <row r="159" spans="1:21" x14ac:dyDescent="0.2">
      <c r="A159" s="170" t="s">
        <v>283</v>
      </c>
      <c r="B159" s="172">
        <f>30000</f>
        <v>30000</v>
      </c>
      <c r="C159" s="151" t="s">
        <v>82</v>
      </c>
      <c r="E159" s="152">
        <f t="shared" si="187"/>
        <v>0.79803765817014449</v>
      </c>
      <c r="F159" s="152">
        <f t="shared" si="188"/>
        <v>9.2821780015374972E-2</v>
      </c>
      <c r="G159" s="152">
        <f t="shared" si="189"/>
        <v>0</v>
      </c>
      <c r="H159" s="152">
        <f t="shared" si="190"/>
        <v>2.0710298150789833E-3</v>
      </c>
      <c r="I159" s="152">
        <f t="shared" si="191"/>
        <v>0.10706953199940157</v>
      </c>
      <c r="K159" s="153">
        <f t="shared" si="192"/>
        <v>23941.129745104336</v>
      </c>
      <c r="L159" s="153">
        <f t="shared" si="193"/>
        <v>2784.653400461249</v>
      </c>
      <c r="M159" s="153">
        <f t="shared" si="194"/>
        <v>0</v>
      </c>
      <c r="N159" s="153">
        <f t="shared" si="195"/>
        <v>62.130894452369496</v>
      </c>
      <c r="O159" s="153">
        <f t="shared" si="196"/>
        <v>3212.0859599820469</v>
      </c>
      <c r="Q159" s="157">
        <f t="shared" si="176"/>
        <v>0</v>
      </c>
      <c r="S159" s="168" t="b">
        <f t="shared" si="175"/>
        <v>1</v>
      </c>
      <c r="T159" s="170" t="s">
        <v>283</v>
      </c>
      <c r="U159" s="172">
        <f>30000</f>
        <v>30000</v>
      </c>
    </row>
    <row r="160" spans="1:21" x14ac:dyDescent="0.2">
      <c r="A160" s="170" t="s">
        <v>284</v>
      </c>
      <c r="B160" s="172">
        <f>15000</f>
        <v>15000</v>
      </c>
      <c r="C160" s="151" t="s">
        <v>82</v>
      </c>
      <c r="E160" s="152">
        <f t="shared" si="187"/>
        <v>0.79803765817014449</v>
      </c>
      <c r="F160" s="152">
        <f t="shared" si="188"/>
        <v>9.2821780015374972E-2</v>
      </c>
      <c r="G160" s="152">
        <f t="shared" si="189"/>
        <v>0</v>
      </c>
      <c r="H160" s="152">
        <f t="shared" si="190"/>
        <v>2.0710298150789833E-3</v>
      </c>
      <c r="I160" s="152">
        <f t="shared" si="191"/>
        <v>0.10706953199940157</v>
      </c>
      <c r="K160" s="153">
        <f t="shared" si="192"/>
        <v>11970.564872552168</v>
      </c>
      <c r="L160" s="153">
        <f t="shared" si="193"/>
        <v>1392.3267002306245</v>
      </c>
      <c r="M160" s="153">
        <f t="shared" si="194"/>
        <v>0</v>
      </c>
      <c r="N160" s="153">
        <f t="shared" si="195"/>
        <v>31.065447226184748</v>
      </c>
      <c r="O160" s="153">
        <f t="shared" si="196"/>
        <v>1606.0429799910235</v>
      </c>
      <c r="Q160" s="157">
        <f t="shared" si="176"/>
        <v>0</v>
      </c>
      <c r="S160" s="168" t="b">
        <f t="shared" si="175"/>
        <v>1</v>
      </c>
      <c r="T160" s="170" t="s">
        <v>284</v>
      </c>
      <c r="U160" s="172">
        <f>15000</f>
        <v>15000</v>
      </c>
    </row>
    <row r="161" spans="1:21" x14ac:dyDescent="0.2">
      <c r="A161" s="170" t="s">
        <v>285</v>
      </c>
      <c r="B161" s="172">
        <f>1000</f>
        <v>1000</v>
      </c>
      <c r="C161" s="151" t="s">
        <v>82</v>
      </c>
      <c r="E161" s="152">
        <f t="shared" si="187"/>
        <v>0.79803765817014449</v>
      </c>
      <c r="F161" s="152">
        <f t="shared" si="188"/>
        <v>9.2821780015374972E-2</v>
      </c>
      <c r="G161" s="152">
        <f t="shared" si="189"/>
        <v>0</v>
      </c>
      <c r="H161" s="152">
        <f t="shared" si="190"/>
        <v>2.0710298150789833E-3</v>
      </c>
      <c r="I161" s="152">
        <f t="shared" si="191"/>
        <v>0.10706953199940157</v>
      </c>
      <c r="K161" s="153">
        <f t="shared" si="192"/>
        <v>798.03765817014448</v>
      </c>
      <c r="L161" s="153">
        <f t="shared" si="193"/>
        <v>92.821780015374969</v>
      </c>
      <c r="M161" s="153">
        <f t="shared" si="194"/>
        <v>0</v>
      </c>
      <c r="N161" s="153">
        <f t="shared" si="195"/>
        <v>2.0710298150789832</v>
      </c>
      <c r="O161" s="153">
        <f t="shared" si="196"/>
        <v>107.06953199940158</v>
      </c>
      <c r="Q161" s="157">
        <f t="shared" si="176"/>
        <v>0</v>
      </c>
      <c r="S161" s="168" t="b">
        <f t="shared" si="175"/>
        <v>1</v>
      </c>
      <c r="T161" s="170" t="s">
        <v>285</v>
      </c>
      <c r="U161" s="172">
        <f>1000</f>
        <v>1000</v>
      </c>
    </row>
    <row r="162" spans="1:21" x14ac:dyDescent="0.2">
      <c r="A162" s="170" t="s">
        <v>286</v>
      </c>
      <c r="B162" s="172">
        <f>3000</f>
        <v>3000</v>
      </c>
      <c r="C162" s="151" t="s">
        <v>82</v>
      </c>
      <c r="E162" s="152">
        <f t="shared" si="187"/>
        <v>0.79803765817014449</v>
      </c>
      <c r="F162" s="152">
        <f t="shared" si="188"/>
        <v>9.2821780015374972E-2</v>
      </c>
      <c r="G162" s="152">
        <f t="shared" si="189"/>
        <v>0</v>
      </c>
      <c r="H162" s="152">
        <f t="shared" si="190"/>
        <v>2.0710298150789833E-3</v>
      </c>
      <c r="I162" s="152">
        <f t="shared" si="191"/>
        <v>0.10706953199940157</v>
      </c>
      <c r="K162" s="153">
        <f t="shared" si="192"/>
        <v>2394.1129745104336</v>
      </c>
      <c r="L162" s="153">
        <f t="shared" si="193"/>
        <v>278.46534004612494</v>
      </c>
      <c r="M162" s="153">
        <f t="shared" si="194"/>
        <v>0</v>
      </c>
      <c r="N162" s="153">
        <f t="shared" si="195"/>
        <v>6.2130894452369496</v>
      </c>
      <c r="O162" s="153">
        <f t="shared" si="196"/>
        <v>321.20859599820471</v>
      </c>
      <c r="Q162" s="157">
        <f t="shared" si="176"/>
        <v>0</v>
      </c>
      <c r="S162" s="168" t="b">
        <f t="shared" si="175"/>
        <v>1</v>
      </c>
      <c r="T162" s="170" t="s">
        <v>286</v>
      </c>
      <c r="U162" s="172">
        <f>3000</f>
        <v>3000</v>
      </c>
    </row>
    <row r="163" spans="1:21" x14ac:dyDescent="0.2">
      <c r="A163" s="170" t="s">
        <v>287</v>
      </c>
      <c r="B163" s="173">
        <f>(((((((B155)+(B156))+(B157))+(B158))+(B159))+(B160))+(B161))+(B162)</f>
        <v>93400</v>
      </c>
      <c r="E163" s="150" t="s">
        <v>305</v>
      </c>
      <c r="F163" s="150" t="s">
        <v>305</v>
      </c>
      <c r="G163" s="150" t="s">
        <v>305</v>
      </c>
      <c r="H163" s="150" t="s">
        <v>305</v>
      </c>
      <c r="I163" s="150" t="s">
        <v>305</v>
      </c>
      <c r="K163" s="150" t="s">
        <v>305</v>
      </c>
      <c r="L163" s="150" t="s">
        <v>305</v>
      </c>
      <c r="M163" s="150" t="s">
        <v>305</v>
      </c>
      <c r="N163" s="150" t="s">
        <v>305</v>
      </c>
      <c r="O163" s="150" t="s">
        <v>305</v>
      </c>
      <c r="Q163" s="157">
        <f t="shared" si="176"/>
        <v>-93400</v>
      </c>
      <c r="S163" s="168" t="b">
        <f t="shared" si="175"/>
        <v>1</v>
      </c>
      <c r="T163" s="170" t="s">
        <v>287</v>
      </c>
      <c r="U163" s="173">
        <f>(((((((U155)+(U156))+(U157))+(U158))+(U159))+(U160))+(U161))+(U162)</f>
        <v>93400</v>
      </c>
    </row>
    <row r="164" spans="1:21" ht="15" thickBot="1" x14ac:dyDescent="0.25">
      <c r="A164" s="170" t="s">
        <v>288</v>
      </c>
      <c r="B164" s="172">
        <f>200000</f>
        <v>200000</v>
      </c>
      <c r="C164" s="151" t="s">
        <v>101</v>
      </c>
      <c r="E164" s="152">
        <f t="shared" si="187"/>
        <v>0.79803765817014449</v>
      </c>
      <c r="F164" s="152">
        <f t="shared" si="188"/>
        <v>9.2821780015374972E-2</v>
      </c>
      <c r="G164" s="152">
        <f t="shared" si="189"/>
        <v>0</v>
      </c>
      <c r="H164" s="152">
        <f t="shared" si="190"/>
        <v>2.0710298150789833E-3</v>
      </c>
      <c r="I164" s="152">
        <f t="shared" si="191"/>
        <v>0.10706953199940157</v>
      </c>
      <c r="K164" s="175">
        <f t="shared" ref="K164" si="197">B164*E164</f>
        <v>159607.53163402888</v>
      </c>
      <c r="L164" s="175">
        <f t="shared" ref="L164" si="198">B164*F164</f>
        <v>18564.356003074994</v>
      </c>
      <c r="M164" s="175">
        <f t="shared" ref="M164" si="199">B164*G164</f>
        <v>0</v>
      </c>
      <c r="N164" s="175">
        <f t="shared" ref="N164" si="200">B164*H164</f>
        <v>414.20596301579667</v>
      </c>
      <c r="O164" s="175">
        <f t="shared" ref="O164" si="201">B164*I164</f>
        <v>21413.906399880314</v>
      </c>
      <c r="Q164" s="157">
        <f t="shared" si="176"/>
        <v>0</v>
      </c>
      <c r="S164" s="168" t="b">
        <f t="shared" si="175"/>
        <v>1</v>
      </c>
      <c r="T164" s="170" t="s">
        <v>288</v>
      </c>
      <c r="U164" s="172">
        <f>200000</f>
        <v>200000</v>
      </c>
    </row>
    <row r="165" spans="1:21" ht="15" thickTop="1" x14ac:dyDescent="0.2">
      <c r="A165" s="170" t="s">
        <v>289</v>
      </c>
      <c r="B165" s="173">
        <f>(((((((((((+(B85))+(B100))+(B112))+(B117))+(B121))+(B124))+(B145))+(B154))+(B163))+(B164)))</f>
        <v>7490861.0200000014</v>
      </c>
      <c r="K165" s="174">
        <f>SUM(K71:K164)</f>
        <v>5861445.4042515298</v>
      </c>
      <c r="L165" s="174">
        <f t="shared" ref="L165:O165" si="202">SUM(L71:L164)</f>
        <v>679387.04555550846</v>
      </c>
      <c r="M165" s="174">
        <f t="shared" si="202"/>
        <v>0</v>
      </c>
      <c r="N165" s="174">
        <f t="shared" si="202"/>
        <v>14346.249312722559</v>
      </c>
      <c r="O165" s="174">
        <f t="shared" si="202"/>
        <v>935682.32088023331</v>
      </c>
      <c r="S165" s="168" t="b">
        <f t="shared" si="175"/>
        <v>1</v>
      </c>
      <c r="T165" s="170" t="s">
        <v>289</v>
      </c>
      <c r="U165" s="173">
        <f>((((((((((((U54)+(U66))+(U70))+(U85))+(U100))+(U112))+(U117))+(U121))+(U124))+(U145))+(U154))+(U163))+(U164)</f>
        <v>7490760.620000001</v>
      </c>
    </row>
    <row r="166" spans="1:21" x14ac:dyDescent="0.2">
      <c r="A166" s="170" t="s">
        <v>290</v>
      </c>
      <c r="B166" s="173">
        <f>(B29)-(B165)</f>
        <v>99999.999999998137</v>
      </c>
      <c r="K166" s="176"/>
      <c r="S166" s="168" t="b">
        <f t="shared" si="175"/>
        <v>1</v>
      </c>
      <c r="T166" s="170" t="s">
        <v>290</v>
      </c>
      <c r="U166" s="173">
        <f>(U29)-(U165)</f>
        <v>100100.39999999851</v>
      </c>
    </row>
    <row r="167" spans="1:21" x14ac:dyDescent="0.2">
      <c r="A167" s="170" t="s">
        <v>291</v>
      </c>
      <c r="B167" s="173">
        <f>(B166)+(0)</f>
        <v>99999.999999998137</v>
      </c>
      <c r="S167" s="168" t="b">
        <f t="shared" si="175"/>
        <v>1</v>
      </c>
      <c r="T167" s="170" t="s">
        <v>291</v>
      </c>
      <c r="U167" s="173">
        <f>(U166)+(0)</f>
        <v>100100.39999999851</v>
      </c>
    </row>
    <row r="168" spans="1:21" x14ac:dyDescent="0.2">
      <c r="A168" s="136"/>
      <c r="B168" s="137"/>
    </row>
    <row r="171" spans="1:21" x14ac:dyDescent="0.2">
      <c r="A171" s="211" t="s">
        <v>292</v>
      </c>
      <c r="B171" s="209"/>
    </row>
  </sheetData>
  <autoFilter ref="A6:R161"/>
  <mergeCells count="6">
    <mergeCell ref="A1:B1"/>
    <mergeCell ref="A2:B2"/>
    <mergeCell ref="A3:B3"/>
    <mergeCell ref="A171:B171"/>
    <mergeCell ref="E2:G2"/>
    <mergeCell ref="E3:G3"/>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2018-2019 Budget</vt:lpstr>
      <vt:lpstr>details</vt:lpstr>
      <vt:lpstr>'2018-2019 Budget'!Print_Area</vt:lpstr>
      <vt:lpstr>'2018-2019 Budget'!Print_Titles</vt:lpstr>
    </vt:vector>
  </TitlesOfParts>
  <Company>NYSED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DuFour</dc:creator>
  <cp:lastModifiedBy>Kamilah O'Brien</cp:lastModifiedBy>
  <cp:lastPrinted>2014-03-25T19:42:00Z</cp:lastPrinted>
  <dcterms:created xsi:type="dcterms:W3CDTF">2010-12-29T20:19:18Z</dcterms:created>
  <dcterms:modified xsi:type="dcterms:W3CDTF">2018-07-20T13:53:56Z</dcterms:modified>
</cp:coreProperties>
</file>